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10414"/>
  <workbookPr codeName="ThisWorkbook" defaultThemeVersion="166925"/>
  <mc:AlternateContent xmlns:mc="http://schemas.openxmlformats.org/markup-compatibility/2006">
    <mc:Choice Requires="x15">
      <x15ac:absPath xmlns:x15ac="http://schemas.microsoft.com/office/spreadsheetml/2010/11/ac" url="/Users/S_BILGIN6/Downloads/antarctic_data/"/>
    </mc:Choice>
  </mc:AlternateContent>
  <xr:revisionPtr revIDLastSave="0" documentId="8_{74ACCB30-6904-DA4C-A868-FE4FB03B67D3}" xr6:coauthVersionLast="47" xr6:coauthVersionMax="47" xr10:uidLastSave="{00000000-0000-0000-0000-000000000000}"/>
  <bookViews>
    <workbookView xWindow="360" yWindow="880" windowWidth="14940" windowHeight="9160"/>
  </bookViews>
  <sheets>
    <sheet name="savedrecs"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Lst>
</workbook>
</file>

<file path=xl/calcChain.xml><?xml version="1.0" encoding="utf-8"?>
<calcChain xmlns="http://schemas.openxmlformats.org/spreadsheetml/2006/main">
  <c r="BF2" i="1" l="1"/>
  <c r="BT2" i="1"/>
  <c r="BF3" i="1"/>
  <c r="BT3" i="1"/>
  <c r="BF4" i="1"/>
  <c r="BT4" i="1"/>
  <c r="BF5" i="1"/>
  <c r="BT5" i="1"/>
  <c r="BF6" i="1"/>
  <c r="BT6" i="1"/>
  <c r="BF7" i="1"/>
  <c r="BT7" i="1"/>
  <c r="BT8" i="1"/>
  <c r="BT9" i="1"/>
  <c r="BF10" i="1"/>
  <c r="BT10" i="1"/>
  <c r="BF11" i="1"/>
  <c r="BT11" i="1"/>
  <c r="BF12" i="1"/>
  <c r="BT12" i="1"/>
  <c r="BF13" i="1"/>
  <c r="BT13" i="1"/>
  <c r="BF14" i="1"/>
  <c r="BT14" i="1"/>
  <c r="BF15" i="1"/>
  <c r="BT15" i="1"/>
  <c r="BF16" i="1"/>
  <c r="BT16" i="1"/>
  <c r="BF17" i="1"/>
  <c r="BT17" i="1"/>
  <c r="BF18" i="1"/>
  <c r="BT18" i="1"/>
  <c r="BF19" i="1"/>
  <c r="BT19" i="1"/>
  <c r="BF20" i="1"/>
  <c r="BT20" i="1"/>
  <c r="BF21" i="1"/>
  <c r="BT21" i="1"/>
  <c r="BF22" i="1"/>
  <c r="BT22" i="1"/>
  <c r="BF23" i="1"/>
  <c r="BT23" i="1"/>
  <c r="BF24" i="1"/>
  <c r="BT24" i="1"/>
  <c r="BF25" i="1"/>
  <c r="BT25" i="1"/>
  <c r="BF26" i="1"/>
  <c r="BT26" i="1"/>
  <c r="BF27" i="1"/>
  <c r="BT27" i="1"/>
  <c r="BF28" i="1"/>
  <c r="BT28" i="1"/>
  <c r="BT29" i="1"/>
  <c r="BF30" i="1"/>
  <c r="BT30" i="1"/>
  <c r="BF31" i="1"/>
  <c r="BT31" i="1"/>
  <c r="BF32" i="1"/>
  <c r="BT32" i="1"/>
  <c r="BF33" i="1"/>
  <c r="BT33" i="1"/>
  <c r="BT34" i="1"/>
  <c r="BF35" i="1"/>
  <c r="BT35" i="1"/>
  <c r="BF36" i="1"/>
  <c r="BT36" i="1"/>
  <c r="BT37" i="1"/>
  <c r="BF38" i="1"/>
  <c r="BT38" i="1"/>
  <c r="BT39" i="1"/>
  <c r="BT40" i="1"/>
  <c r="BT41" i="1"/>
  <c r="BT42" i="1"/>
  <c r="BF43" i="1"/>
  <c r="BT43" i="1"/>
  <c r="BT44" i="1"/>
  <c r="BT45" i="1"/>
  <c r="BF46" i="1"/>
  <c r="BT46" i="1"/>
  <c r="BT47" i="1"/>
  <c r="BF48" i="1"/>
  <c r="BT48" i="1"/>
  <c r="BF49" i="1"/>
  <c r="BT49" i="1"/>
  <c r="BF50" i="1"/>
  <c r="BT50" i="1"/>
  <c r="BF51" i="1"/>
  <c r="BT51" i="1"/>
  <c r="BF52" i="1"/>
  <c r="BT52" i="1"/>
  <c r="BF53" i="1"/>
  <c r="BT53" i="1"/>
  <c r="BF54" i="1"/>
  <c r="BT54" i="1"/>
  <c r="BF55" i="1"/>
  <c r="BT55" i="1"/>
  <c r="BF56" i="1"/>
  <c r="BT56" i="1"/>
  <c r="BF57" i="1"/>
  <c r="BT57" i="1"/>
  <c r="BF58" i="1"/>
  <c r="BT58" i="1"/>
  <c r="BF59" i="1"/>
  <c r="BT59" i="1"/>
  <c r="BF60" i="1"/>
  <c r="BT60" i="1"/>
  <c r="BF61" i="1"/>
  <c r="BT61" i="1"/>
  <c r="BF62" i="1"/>
  <c r="BT62" i="1"/>
  <c r="BF63" i="1"/>
  <c r="BT63" i="1"/>
  <c r="BF64" i="1"/>
  <c r="BT64" i="1"/>
  <c r="BT65" i="1"/>
  <c r="BT66" i="1"/>
  <c r="BF67" i="1"/>
  <c r="BT67" i="1"/>
  <c r="BF68" i="1"/>
  <c r="BT68" i="1"/>
  <c r="BF69" i="1"/>
  <c r="BT69" i="1"/>
  <c r="BF70" i="1"/>
  <c r="BT70" i="1"/>
  <c r="BF71" i="1"/>
  <c r="BT71" i="1"/>
  <c r="BF72" i="1"/>
  <c r="BT72" i="1"/>
  <c r="BF73" i="1"/>
  <c r="BT73" i="1"/>
  <c r="BF74" i="1"/>
  <c r="BT74" i="1"/>
  <c r="BF75" i="1"/>
  <c r="BT75" i="1"/>
  <c r="BF76" i="1"/>
  <c r="BT76" i="1"/>
  <c r="BF77" i="1"/>
  <c r="BT77" i="1"/>
  <c r="BF78" i="1"/>
  <c r="BT78" i="1"/>
  <c r="BF79" i="1"/>
  <c r="BT79" i="1"/>
  <c r="BF80" i="1"/>
  <c r="BT80" i="1"/>
  <c r="BF81" i="1"/>
  <c r="BT81" i="1"/>
  <c r="BF82" i="1"/>
  <c r="BT82" i="1"/>
  <c r="BF83" i="1"/>
  <c r="BT83" i="1"/>
  <c r="BF84" i="1"/>
  <c r="BT84" i="1"/>
  <c r="BF85" i="1"/>
  <c r="BT85" i="1"/>
  <c r="BF86" i="1"/>
  <c r="BT86" i="1"/>
  <c r="BF87" i="1"/>
  <c r="BT87" i="1"/>
  <c r="BF88" i="1"/>
  <c r="BT88" i="1"/>
  <c r="BF89" i="1"/>
  <c r="BT89" i="1"/>
  <c r="BF90" i="1"/>
  <c r="BT90" i="1"/>
  <c r="BF91" i="1"/>
  <c r="BT91" i="1"/>
  <c r="BF92" i="1"/>
  <c r="BT92" i="1"/>
  <c r="BF93" i="1"/>
  <c r="BT93" i="1"/>
  <c r="BF94" i="1"/>
  <c r="BT94" i="1"/>
  <c r="BF95" i="1"/>
  <c r="BT95" i="1"/>
  <c r="BF96" i="1"/>
  <c r="BT96" i="1"/>
  <c r="BF97" i="1"/>
  <c r="BT97" i="1"/>
  <c r="BF98" i="1"/>
  <c r="BT98" i="1"/>
  <c r="BF99" i="1"/>
  <c r="BT99" i="1"/>
  <c r="BF100" i="1"/>
  <c r="BT100" i="1"/>
  <c r="BF101" i="1"/>
  <c r="BT101" i="1"/>
  <c r="BF102" i="1"/>
  <c r="BT102" i="1"/>
  <c r="BF103" i="1"/>
  <c r="BT103" i="1"/>
  <c r="BF104" i="1"/>
  <c r="BT104" i="1"/>
  <c r="BF105" i="1"/>
  <c r="BT105" i="1"/>
  <c r="BF106" i="1"/>
  <c r="BT106" i="1"/>
  <c r="BF107" i="1"/>
  <c r="BT107" i="1"/>
  <c r="BF108" i="1"/>
  <c r="BT108" i="1"/>
  <c r="BF109" i="1"/>
  <c r="BT109" i="1"/>
  <c r="BF110" i="1"/>
  <c r="BT110" i="1"/>
  <c r="BF111" i="1"/>
  <c r="BT111" i="1"/>
  <c r="BF112" i="1"/>
  <c r="BT112" i="1"/>
  <c r="BF113" i="1"/>
  <c r="BT113" i="1"/>
  <c r="BF114" i="1"/>
  <c r="BT114" i="1"/>
  <c r="BT115" i="1"/>
  <c r="BT116" i="1"/>
  <c r="BT117" i="1"/>
  <c r="BT118" i="1"/>
  <c r="BT119" i="1"/>
  <c r="BT120" i="1"/>
  <c r="BT121" i="1"/>
  <c r="BT122" i="1"/>
  <c r="BT123" i="1"/>
  <c r="BT124" i="1"/>
  <c r="BT125" i="1"/>
  <c r="BT126" i="1"/>
  <c r="BT127" i="1"/>
  <c r="BT128" i="1"/>
  <c r="BF129" i="1"/>
  <c r="BT129" i="1"/>
  <c r="BF130" i="1"/>
  <c r="BT130" i="1"/>
  <c r="BF131" i="1"/>
  <c r="BT131" i="1"/>
  <c r="BF132" i="1"/>
  <c r="BT132" i="1"/>
  <c r="BF133" i="1"/>
  <c r="BT133" i="1"/>
  <c r="BF134" i="1"/>
  <c r="BT134" i="1"/>
  <c r="BF135" i="1"/>
  <c r="BT135" i="1"/>
  <c r="BF136" i="1"/>
  <c r="BT136" i="1"/>
  <c r="BF137" i="1"/>
  <c r="BT137" i="1"/>
  <c r="BF138" i="1"/>
  <c r="BT138" i="1"/>
  <c r="BF139" i="1"/>
  <c r="BT139" i="1"/>
  <c r="BF140" i="1"/>
  <c r="BT140" i="1"/>
  <c r="BF141" i="1"/>
  <c r="BT141" i="1"/>
  <c r="BF142" i="1"/>
  <c r="BT142" i="1"/>
  <c r="BF143" i="1"/>
  <c r="BT143" i="1"/>
  <c r="BF144" i="1"/>
  <c r="BT144" i="1"/>
  <c r="BF145" i="1"/>
  <c r="BT145" i="1"/>
  <c r="BF146" i="1"/>
  <c r="BT146" i="1"/>
  <c r="BF147" i="1"/>
  <c r="BT147" i="1"/>
  <c r="BF148" i="1"/>
  <c r="BT148" i="1"/>
  <c r="BF149" i="1"/>
  <c r="BT149" i="1"/>
  <c r="BF150" i="1"/>
  <c r="BT150" i="1"/>
  <c r="BT151" i="1"/>
  <c r="BF152" i="1"/>
  <c r="BT152" i="1"/>
  <c r="BF153" i="1"/>
  <c r="BT153" i="1"/>
  <c r="BT154" i="1"/>
  <c r="BT155" i="1"/>
  <c r="BT156" i="1"/>
  <c r="BF157" i="1"/>
  <c r="BT157" i="1"/>
  <c r="BF158" i="1"/>
  <c r="BT158" i="1"/>
  <c r="BT159" i="1"/>
  <c r="BT160" i="1"/>
  <c r="BF161" i="1"/>
  <c r="BT161" i="1"/>
  <c r="BF162" i="1"/>
  <c r="BT162" i="1"/>
  <c r="BF163" i="1"/>
  <c r="BT163" i="1"/>
  <c r="BT164" i="1"/>
  <c r="BT165" i="1"/>
  <c r="BT166" i="1"/>
  <c r="BT167" i="1"/>
  <c r="BT168" i="1"/>
  <c r="BT169" i="1"/>
  <c r="BF170" i="1"/>
  <c r="BT170" i="1"/>
  <c r="BT171" i="1"/>
  <c r="BF172" i="1"/>
  <c r="BT172" i="1"/>
  <c r="BF173" i="1"/>
  <c r="BT173" i="1"/>
  <c r="BF174" i="1"/>
  <c r="BT174" i="1"/>
  <c r="BT175" i="1"/>
  <c r="BT176" i="1"/>
  <c r="BF177" i="1"/>
  <c r="BT177" i="1"/>
  <c r="BT178" i="1"/>
  <c r="BF179" i="1"/>
  <c r="BT179" i="1"/>
  <c r="BF180" i="1"/>
  <c r="BT180" i="1"/>
  <c r="BF181" i="1"/>
  <c r="BT181" i="1"/>
  <c r="BF182" i="1"/>
  <c r="BT182" i="1"/>
  <c r="BF183" i="1"/>
  <c r="BT183" i="1"/>
  <c r="BF184" i="1"/>
  <c r="BT184" i="1"/>
  <c r="BT185" i="1"/>
  <c r="BT186" i="1"/>
  <c r="BT187" i="1"/>
  <c r="BT188" i="1"/>
  <c r="BF189" i="1"/>
  <c r="BT189" i="1"/>
  <c r="BF190" i="1"/>
  <c r="BT190" i="1"/>
  <c r="BF191" i="1"/>
  <c r="BT191" i="1"/>
  <c r="BF192" i="1"/>
  <c r="BT192" i="1"/>
  <c r="BF193" i="1"/>
  <c r="BT193" i="1"/>
  <c r="BF194" i="1"/>
  <c r="BT194" i="1"/>
  <c r="BF195" i="1"/>
  <c r="BT195" i="1"/>
  <c r="BF196" i="1"/>
  <c r="BT196" i="1"/>
  <c r="BF197" i="1"/>
  <c r="BT197" i="1"/>
  <c r="BF198" i="1"/>
  <c r="BT198" i="1"/>
  <c r="BT199" i="1"/>
  <c r="BF200" i="1"/>
  <c r="BT200" i="1"/>
  <c r="BF201" i="1"/>
  <c r="BT201" i="1"/>
  <c r="BF202" i="1"/>
  <c r="BT202" i="1"/>
  <c r="BF203" i="1"/>
  <c r="BT203" i="1"/>
  <c r="BF204" i="1"/>
  <c r="BT204" i="1"/>
  <c r="BF205" i="1"/>
  <c r="BT205" i="1"/>
  <c r="BF206" i="1"/>
  <c r="BT206" i="1"/>
  <c r="BF207" i="1"/>
  <c r="BT207" i="1"/>
  <c r="BF208" i="1"/>
  <c r="BT208" i="1"/>
  <c r="BF209" i="1"/>
  <c r="BT209" i="1"/>
  <c r="BF210" i="1"/>
  <c r="BT210" i="1"/>
  <c r="BF211" i="1"/>
  <c r="BT211" i="1"/>
  <c r="BF212" i="1"/>
  <c r="BT212" i="1"/>
  <c r="BF213" i="1"/>
  <c r="BT213" i="1"/>
  <c r="BF214" i="1"/>
  <c r="BT214" i="1"/>
  <c r="BF215" i="1"/>
  <c r="BT215" i="1"/>
  <c r="BF216" i="1"/>
  <c r="BT216" i="1"/>
  <c r="BF217" i="1"/>
  <c r="BT217" i="1"/>
  <c r="BF218" i="1"/>
  <c r="BT218" i="1"/>
  <c r="BF219" i="1"/>
  <c r="BT219" i="1"/>
  <c r="BF220" i="1"/>
  <c r="BT220" i="1"/>
  <c r="BF221" i="1"/>
  <c r="BT221" i="1"/>
  <c r="BF222" i="1"/>
  <c r="BT222" i="1"/>
  <c r="BF223" i="1"/>
  <c r="BT223" i="1"/>
  <c r="BF224" i="1"/>
  <c r="BT224" i="1"/>
  <c r="BF225" i="1"/>
  <c r="BT225" i="1"/>
  <c r="BT226" i="1"/>
  <c r="BF227" i="1"/>
  <c r="BT227" i="1"/>
  <c r="BF228" i="1"/>
  <c r="BT228" i="1"/>
  <c r="BF229" i="1"/>
  <c r="BT229" i="1"/>
  <c r="BF230" i="1"/>
  <c r="BT230" i="1"/>
  <c r="BF231" i="1"/>
  <c r="BT231" i="1"/>
  <c r="BF232" i="1"/>
  <c r="BT232" i="1"/>
  <c r="BF233" i="1"/>
  <c r="BT233" i="1"/>
  <c r="BF234" i="1"/>
  <c r="BT234" i="1"/>
  <c r="BF235" i="1"/>
  <c r="BT235" i="1"/>
  <c r="BF236" i="1"/>
  <c r="BT236" i="1"/>
  <c r="BF237" i="1"/>
  <c r="BT237" i="1"/>
  <c r="BF238" i="1"/>
  <c r="BT238" i="1"/>
  <c r="BF239" i="1"/>
  <c r="BT239" i="1"/>
  <c r="BF240" i="1"/>
  <c r="BT240" i="1"/>
  <c r="BF241" i="1"/>
  <c r="BT241" i="1"/>
  <c r="BF242" i="1"/>
  <c r="BT242" i="1"/>
  <c r="BF243" i="1"/>
  <c r="BT243" i="1"/>
  <c r="BF244" i="1"/>
  <c r="BT244" i="1"/>
  <c r="BF245" i="1"/>
  <c r="BT245" i="1"/>
  <c r="BF246" i="1"/>
  <c r="BT246" i="1"/>
  <c r="BF247" i="1"/>
  <c r="BT247" i="1"/>
  <c r="BF248" i="1"/>
  <c r="BT248" i="1"/>
  <c r="BF249" i="1"/>
  <c r="BT249" i="1"/>
  <c r="BF250" i="1"/>
  <c r="BT250" i="1"/>
  <c r="BF251" i="1"/>
  <c r="BT251" i="1"/>
  <c r="BF252" i="1"/>
  <c r="BT252" i="1"/>
  <c r="BT253" i="1"/>
  <c r="BF254" i="1"/>
  <c r="BT254" i="1"/>
  <c r="BF255" i="1"/>
  <c r="BT255" i="1"/>
  <c r="BF256" i="1"/>
  <c r="BT256" i="1"/>
  <c r="BT257" i="1"/>
  <c r="BF258" i="1"/>
  <c r="BT258" i="1"/>
  <c r="BF259" i="1"/>
  <c r="BT259" i="1"/>
  <c r="BF260" i="1"/>
  <c r="BT260" i="1"/>
  <c r="BF261" i="1"/>
  <c r="BT261" i="1"/>
  <c r="BF262" i="1"/>
  <c r="BT262" i="1"/>
  <c r="BF263" i="1"/>
  <c r="BT263" i="1"/>
  <c r="BF264" i="1"/>
  <c r="BT264" i="1"/>
  <c r="BF265" i="1"/>
  <c r="BT265" i="1"/>
  <c r="BF266" i="1"/>
  <c r="BT266" i="1"/>
  <c r="BF267" i="1"/>
  <c r="BT267" i="1"/>
  <c r="BF268" i="1"/>
  <c r="BT268" i="1"/>
  <c r="BF269" i="1"/>
  <c r="BT269" i="1"/>
  <c r="BF270" i="1"/>
  <c r="BT270" i="1"/>
  <c r="BF271" i="1"/>
  <c r="BT271" i="1"/>
  <c r="BF272" i="1"/>
  <c r="BT272" i="1"/>
  <c r="BF273" i="1"/>
  <c r="BT273" i="1"/>
  <c r="BF274" i="1"/>
  <c r="BT274" i="1"/>
  <c r="BF275" i="1"/>
  <c r="BT275" i="1"/>
  <c r="BF276" i="1"/>
  <c r="BT276" i="1"/>
  <c r="BF277" i="1"/>
  <c r="BT277" i="1"/>
  <c r="BF278" i="1"/>
  <c r="BT278" i="1"/>
  <c r="BF279" i="1"/>
  <c r="BT279" i="1"/>
  <c r="BF280" i="1"/>
  <c r="BT280" i="1"/>
  <c r="BF281" i="1"/>
  <c r="BT281" i="1"/>
  <c r="BF282" i="1"/>
  <c r="BT282" i="1"/>
  <c r="BF283" i="1"/>
  <c r="BT283" i="1"/>
  <c r="BF284" i="1"/>
  <c r="BT284" i="1"/>
  <c r="BF285" i="1"/>
  <c r="BT285" i="1"/>
  <c r="BF286" i="1"/>
  <c r="BT286" i="1"/>
  <c r="BF287" i="1"/>
  <c r="BT287" i="1"/>
  <c r="BF288" i="1"/>
  <c r="BT288" i="1"/>
  <c r="BF289" i="1"/>
  <c r="BT289" i="1"/>
  <c r="BF290" i="1"/>
  <c r="BT290" i="1"/>
  <c r="BF291" i="1"/>
  <c r="BT291" i="1"/>
  <c r="BF292" i="1"/>
  <c r="BT292" i="1"/>
  <c r="BF293" i="1"/>
  <c r="BT293" i="1"/>
  <c r="BF294" i="1"/>
  <c r="BT294" i="1"/>
  <c r="BF295" i="1"/>
  <c r="BT295" i="1"/>
  <c r="BT296" i="1"/>
  <c r="BF297" i="1"/>
  <c r="BT297" i="1"/>
  <c r="BF298" i="1"/>
  <c r="BT298" i="1"/>
  <c r="BF299" i="1"/>
  <c r="BT299" i="1"/>
  <c r="BF300" i="1"/>
  <c r="BT300" i="1"/>
  <c r="BF301" i="1"/>
  <c r="BT301" i="1"/>
  <c r="BF302" i="1"/>
  <c r="BT302" i="1"/>
  <c r="BF303" i="1"/>
  <c r="BT303" i="1"/>
  <c r="BT304" i="1"/>
  <c r="BF305" i="1"/>
  <c r="BT305" i="1"/>
  <c r="BT306" i="1"/>
  <c r="BF307" i="1"/>
  <c r="BT307" i="1"/>
  <c r="BF308" i="1"/>
  <c r="BT308" i="1"/>
  <c r="BF309" i="1"/>
  <c r="BT309" i="1"/>
  <c r="BF310" i="1"/>
  <c r="BT310" i="1"/>
  <c r="BF311" i="1"/>
  <c r="BT311" i="1"/>
  <c r="BF312" i="1"/>
  <c r="BT312" i="1"/>
  <c r="BT313" i="1"/>
  <c r="BF314" i="1"/>
  <c r="BT314" i="1"/>
  <c r="BF315" i="1"/>
  <c r="BT315" i="1"/>
  <c r="BF316" i="1"/>
  <c r="BT316" i="1"/>
  <c r="BF317" i="1"/>
  <c r="BT317" i="1"/>
  <c r="BF318" i="1"/>
  <c r="BT318" i="1"/>
  <c r="BF319" i="1"/>
  <c r="BT319" i="1"/>
  <c r="BF320" i="1"/>
  <c r="BT320" i="1"/>
  <c r="BF321" i="1"/>
  <c r="BT321" i="1"/>
  <c r="BF322" i="1"/>
  <c r="BT322" i="1"/>
  <c r="BF323" i="1"/>
  <c r="BT323" i="1"/>
  <c r="BT324" i="1"/>
  <c r="BF325" i="1"/>
  <c r="BT325" i="1"/>
  <c r="BF326" i="1"/>
  <c r="BT326" i="1"/>
  <c r="BT327" i="1"/>
  <c r="BF328" i="1"/>
  <c r="BT328" i="1"/>
  <c r="BF329" i="1"/>
  <c r="BT329" i="1"/>
  <c r="BF330" i="1"/>
  <c r="BT330" i="1"/>
  <c r="BT331" i="1"/>
  <c r="BT332" i="1"/>
  <c r="BT333" i="1"/>
  <c r="BT334" i="1"/>
  <c r="BT335" i="1"/>
  <c r="BT336" i="1"/>
  <c r="BF337" i="1"/>
  <c r="BT337" i="1"/>
  <c r="BF338" i="1"/>
  <c r="BT338" i="1"/>
  <c r="BF339" i="1"/>
  <c r="BT339" i="1"/>
  <c r="BF340" i="1"/>
  <c r="BT340" i="1"/>
  <c r="BF341" i="1"/>
  <c r="BT341" i="1"/>
  <c r="BF342" i="1"/>
  <c r="BT342" i="1"/>
  <c r="BF343" i="1"/>
  <c r="BT343" i="1"/>
  <c r="BF344" i="1"/>
  <c r="BT344" i="1"/>
  <c r="BF345" i="1"/>
  <c r="BT345" i="1"/>
  <c r="BF346" i="1"/>
  <c r="BT346" i="1"/>
  <c r="BF347" i="1"/>
  <c r="BT347" i="1"/>
  <c r="BF348" i="1"/>
  <c r="BT348" i="1"/>
  <c r="BF349" i="1"/>
  <c r="BT349" i="1"/>
  <c r="BF350" i="1"/>
  <c r="BT350" i="1"/>
  <c r="BF351" i="1"/>
  <c r="BT351" i="1"/>
  <c r="BF352" i="1"/>
  <c r="BT352" i="1"/>
  <c r="BT353" i="1"/>
  <c r="BT354" i="1"/>
  <c r="BF355" i="1"/>
  <c r="BT355" i="1"/>
  <c r="BF356" i="1"/>
  <c r="BT356" i="1"/>
  <c r="BF357" i="1"/>
  <c r="BT357" i="1"/>
  <c r="BF358" i="1"/>
  <c r="BT358" i="1"/>
  <c r="BF359" i="1"/>
  <c r="BT359" i="1"/>
  <c r="BF360" i="1"/>
  <c r="BT360" i="1"/>
  <c r="BF361" i="1"/>
  <c r="BT361" i="1"/>
  <c r="BF362" i="1"/>
  <c r="BT362" i="1"/>
  <c r="BF363" i="1"/>
  <c r="BT363" i="1"/>
  <c r="BF364" i="1"/>
  <c r="BT364" i="1"/>
  <c r="BF365" i="1"/>
  <c r="BT365" i="1"/>
  <c r="BF366" i="1"/>
  <c r="BT366" i="1"/>
  <c r="BF367" i="1"/>
  <c r="BT367" i="1"/>
  <c r="BT368" i="1"/>
  <c r="BT369" i="1"/>
  <c r="BT370" i="1"/>
  <c r="BT371" i="1"/>
  <c r="BT372" i="1"/>
  <c r="BT373" i="1"/>
  <c r="BT374" i="1"/>
  <c r="BF375" i="1"/>
  <c r="BT375" i="1"/>
  <c r="BF376" i="1"/>
  <c r="BT376" i="1"/>
  <c r="BT377" i="1"/>
  <c r="BF378" i="1"/>
  <c r="BT378" i="1"/>
  <c r="BF379" i="1"/>
  <c r="BT379" i="1"/>
  <c r="BF380" i="1"/>
  <c r="BT380" i="1"/>
  <c r="BF381" i="1"/>
  <c r="BT381" i="1"/>
  <c r="BF382" i="1"/>
  <c r="BT382" i="1"/>
  <c r="BF383" i="1"/>
  <c r="BT383" i="1"/>
  <c r="BF384" i="1"/>
  <c r="BT384" i="1"/>
  <c r="BT385" i="1"/>
  <c r="BF386" i="1"/>
  <c r="BT386" i="1"/>
  <c r="BF387" i="1"/>
  <c r="BT387" i="1"/>
  <c r="BF388" i="1"/>
  <c r="BT388" i="1"/>
  <c r="BF389" i="1"/>
  <c r="BT389" i="1"/>
  <c r="BF390" i="1"/>
  <c r="BT390" i="1"/>
  <c r="BF391" i="1"/>
  <c r="BT391" i="1"/>
  <c r="BF392" i="1"/>
  <c r="BT392" i="1"/>
  <c r="BF393" i="1"/>
  <c r="BT393" i="1"/>
  <c r="BF394" i="1"/>
  <c r="BT394" i="1"/>
  <c r="BF395" i="1"/>
  <c r="BT395" i="1"/>
  <c r="BF396" i="1"/>
  <c r="BT396" i="1"/>
  <c r="BF397" i="1"/>
  <c r="BT397" i="1"/>
  <c r="BF398" i="1"/>
  <c r="BT398" i="1"/>
  <c r="BF399" i="1"/>
  <c r="BT399" i="1"/>
  <c r="BF400" i="1"/>
  <c r="BT400" i="1"/>
  <c r="BT401" i="1"/>
  <c r="BT402" i="1"/>
  <c r="BT403" i="1"/>
  <c r="BT404" i="1"/>
  <c r="BT405" i="1"/>
  <c r="BT406" i="1"/>
  <c r="BT407" i="1"/>
  <c r="BT408" i="1"/>
  <c r="BF409" i="1"/>
  <c r="BT409" i="1"/>
  <c r="BT410" i="1"/>
  <c r="BT411" i="1"/>
  <c r="BT412" i="1"/>
  <c r="BT413" i="1"/>
  <c r="BT414" i="1"/>
  <c r="BT415" i="1"/>
  <c r="BT416" i="1"/>
  <c r="BT417" i="1"/>
  <c r="BT418" i="1"/>
  <c r="BT419" i="1"/>
  <c r="BT420" i="1"/>
  <c r="BT421" i="1"/>
  <c r="BT422" i="1"/>
  <c r="BF423" i="1"/>
  <c r="BT423" i="1"/>
  <c r="BF424" i="1"/>
  <c r="BT424" i="1"/>
  <c r="BF425" i="1"/>
  <c r="BT425" i="1"/>
  <c r="BF426" i="1"/>
  <c r="BT426" i="1"/>
  <c r="BT427" i="1"/>
  <c r="BT428" i="1"/>
  <c r="BF429" i="1"/>
  <c r="BT429" i="1"/>
  <c r="BF430" i="1"/>
  <c r="BT430" i="1"/>
  <c r="BF431" i="1"/>
  <c r="BT431" i="1"/>
  <c r="BF432" i="1"/>
  <c r="BT432" i="1"/>
  <c r="BF433" i="1"/>
  <c r="BT433" i="1"/>
  <c r="BF434" i="1"/>
  <c r="BT434" i="1"/>
  <c r="BT435" i="1"/>
  <c r="BT436" i="1"/>
  <c r="BT437" i="1"/>
  <c r="BT438" i="1"/>
  <c r="BT439" i="1"/>
  <c r="BF440" i="1"/>
  <c r="BT440" i="1"/>
  <c r="BF441" i="1"/>
  <c r="BT441" i="1"/>
  <c r="BF442" i="1"/>
  <c r="BT442" i="1"/>
  <c r="BF443" i="1"/>
  <c r="BT443" i="1"/>
  <c r="BT444" i="1"/>
  <c r="BT445" i="1"/>
  <c r="BF446" i="1"/>
  <c r="BT446" i="1"/>
  <c r="BT447" i="1"/>
  <c r="BT448" i="1"/>
  <c r="BT449" i="1"/>
  <c r="BT450" i="1"/>
  <c r="BF451" i="1"/>
  <c r="BT451" i="1"/>
  <c r="BT452" i="1"/>
  <c r="BF453" i="1"/>
  <c r="BT453" i="1"/>
  <c r="BF454" i="1"/>
  <c r="BT454" i="1"/>
  <c r="BF455" i="1"/>
  <c r="BT455" i="1"/>
  <c r="BF456" i="1"/>
  <c r="BT456" i="1"/>
  <c r="BF457" i="1"/>
  <c r="BT457" i="1"/>
  <c r="BF458" i="1"/>
  <c r="BT458" i="1"/>
  <c r="BF459" i="1"/>
  <c r="BT459" i="1"/>
  <c r="BF460" i="1"/>
  <c r="BT460" i="1"/>
  <c r="BF461" i="1"/>
  <c r="BT461" i="1"/>
  <c r="BF462" i="1"/>
  <c r="BT462" i="1"/>
  <c r="BF463" i="1"/>
  <c r="BT463" i="1"/>
  <c r="BF464" i="1"/>
  <c r="BT464" i="1"/>
  <c r="BT465" i="1"/>
  <c r="BF466" i="1"/>
  <c r="BT466" i="1"/>
  <c r="BF467" i="1"/>
  <c r="BT467" i="1"/>
  <c r="BF468" i="1"/>
  <c r="BT468" i="1"/>
  <c r="BT469" i="1"/>
  <c r="BF470" i="1"/>
  <c r="BT470" i="1"/>
  <c r="BF471" i="1"/>
  <c r="BT471" i="1"/>
  <c r="BF472" i="1"/>
  <c r="BT472" i="1"/>
  <c r="BF473" i="1"/>
  <c r="BT473" i="1"/>
  <c r="BF474" i="1"/>
  <c r="BT474" i="1"/>
  <c r="BF475" i="1"/>
  <c r="BT475" i="1"/>
  <c r="BF476" i="1"/>
  <c r="BT476" i="1"/>
  <c r="BF477" i="1"/>
  <c r="BT477" i="1"/>
  <c r="BF478" i="1"/>
  <c r="BT478" i="1"/>
  <c r="BF479" i="1"/>
  <c r="BT479" i="1"/>
  <c r="BF480" i="1"/>
  <c r="BT480" i="1"/>
  <c r="BF481" i="1"/>
  <c r="BT481" i="1"/>
  <c r="BF482" i="1"/>
  <c r="BT482" i="1"/>
  <c r="BF483" i="1"/>
  <c r="BT483" i="1"/>
  <c r="BF484" i="1"/>
  <c r="BT484" i="1"/>
  <c r="BF485" i="1"/>
  <c r="BT485" i="1"/>
  <c r="BF486" i="1"/>
  <c r="BT486" i="1"/>
  <c r="BT487" i="1"/>
  <c r="BF488" i="1"/>
  <c r="BT488" i="1"/>
  <c r="BF489" i="1"/>
  <c r="BT489" i="1"/>
  <c r="BF490" i="1"/>
  <c r="BT490" i="1"/>
  <c r="BF491" i="1"/>
  <c r="BT491" i="1"/>
  <c r="BF492" i="1"/>
  <c r="BT492" i="1"/>
  <c r="BT493" i="1"/>
  <c r="BF494" i="1"/>
  <c r="BT494" i="1"/>
  <c r="BF495" i="1"/>
  <c r="BT495" i="1"/>
  <c r="BF496" i="1"/>
  <c r="BT496" i="1"/>
  <c r="BT497" i="1"/>
  <c r="BT498" i="1"/>
  <c r="BF499" i="1"/>
  <c r="BT499" i="1"/>
  <c r="BF500" i="1"/>
  <c r="BT500" i="1"/>
  <c r="BF501" i="1"/>
  <c r="BT501" i="1"/>
  <c r="BF502" i="1"/>
  <c r="BT502" i="1"/>
  <c r="BF503" i="1"/>
  <c r="BT503" i="1"/>
  <c r="BF504" i="1"/>
  <c r="BT504" i="1"/>
  <c r="BF505" i="1"/>
  <c r="BT505" i="1"/>
  <c r="BF506" i="1"/>
  <c r="BT506" i="1"/>
  <c r="BF507" i="1"/>
  <c r="BT507" i="1"/>
  <c r="BF508" i="1"/>
  <c r="BT508" i="1"/>
  <c r="BF509" i="1"/>
  <c r="BT509" i="1"/>
  <c r="BF510" i="1"/>
  <c r="BT510" i="1"/>
  <c r="BF511" i="1"/>
  <c r="BT511" i="1"/>
  <c r="BF512" i="1"/>
  <c r="BT512" i="1"/>
  <c r="BF513" i="1"/>
  <c r="BT513" i="1"/>
  <c r="BF514" i="1"/>
  <c r="BT514" i="1"/>
  <c r="BF515" i="1"/>
  <c r="BT515" i="1"/>
  <c r="BF516" i="1"/>
  <c r="BT516" i="1"/>
  <c r="BF517" i="1"/>
  <c r="BT517" i="1"/>
  <c r="BF518" i="1"/>
  <c r="BT518" i="1"/>
  <c r="BF519" i="1"/>
  <c r="BT519" i="1"/>
  <c r="BF520" i="1"/>
  <c r="BT520" i="1"/>
  <c r="BT521" i="1"/>
  <c r="BF522" i="1"/>
  <c r="BT522" i="1"/>
  <c r="BT523" i="1"/>
  <c r="BF524" i="1"/>
  <c r="BT524" i="1"/>
  <c r="BF525" i="1"/>
  <c r="BT525" i="1"/>
  <c r="BF526" i="1"/>
  <c r="BT526" i="1"/>
  <c r="BF527" i="1"/>
  <c r="BT527" i="1"/>
  <c r="BF528" i="1"/>
  <c r="BT528" i="1"/>
  <c r="BF529" i="1"/>
  <c r="BT529" i="1"/>
  <c r="BF530" i="1"/>
  <c r="BT530" i="1"/>
  <c r="BF531" i="1"/>
  <c r="BT531" i="1"/>
  <c r="BF532" i="1"/>
  <c r="BT532" i="1"/>
  <c r="BF533" i="1"/>
  <c r="BT533" i="1"/>
  <c r="BT534" i="1"/>
  <c r="BF535" i="1"/>
  <c r="BT535" i="1"/>
  <c r="BF536" i="1"/>
  <c r="BT536" i="1"/>
  <c r="BF537" i="1"/>
  <c r="BT537" i="1"/>
  <c r="BF538" i="1"/>
  <c r="BT538" i="1"/>
  <c r="BF539" i="1"/>
  <c r="BT539" i="1"/>
  <c r="BF540" i="1"/>
  <c r="BT540" i="1"/>
  <c r="BF541" i="1"/>
  <c r="BT541" i="1"/>
  <c r="BF542" i="1"/>
  <c r="BT542" i="1"/>
  <c r="BF543" i="1"/>
  <c r="BT543" i="1"/>
  <c r="BF544" i="1"/>
  <c r="BT544" i="1"/>
  <c r="BT545" i="1"/>
  <c r="BT546" i="1"/>
  <c r="BT547" i="1"/>
  <c r="BT548" i="1"/>
  <c r="BT549" i="1"/>
  <c r="BF550" i="1"/>
  <c r="BT550" i="1"/>
  <c r="BF551" i="1"/>
  <c r="BT551" i="1"/>
  <c r="BF552" i="1"/>
  <c r="BT552" i="1"/>
  <c r="BF553" i="1"/>
  <c r="BT553" i="1"/>
  <c r="BF554" i="1"/>
  <c r="BT554" i="1"/>
  <c r="BF555" i="1"/>
  <c r="BT555" i="1"/>
  <c r="BF556" i="1"/>
  <c r="BT556" i="1"/>
  <c r="BF557" i="1"/>
  <c r="BT557" i="1"/>
  <c r="BF558" i="1"/>
  <c r="BT558" i="1"/>
  <c r="BF559" i="1"/>
  <c r="BT559" i="1"/>
  <c r="BF560" i="1"/>
  <c r="BT560" i="1"/>
  <c r="BF561" i="1"/>
  <c r="BT561" i="1"/>
  <c r="BF562" i="1"/>
  <c r="BT562" i="1"/>
  <c r="BF563" i="1"/>
  <c r="BT563" i="1"/>
  <c r="BF564" i="1"/>
  <c r="BT564" i="1"/>
  <c r="BF565" i="1"/>
  <c r="BT565" i="1"/>
  <c r="BF566" i="1"/>
  <c r="BT566" i="1"/>
  <c r="BF567" i="1"/>
  <c r="BT567" i="1"/>
  <c r="BF568" i="1"/>
  <c r="BT568" i="1"/>
  <c r="BF569" i="1"/>
  <c r="BT569" i="1"/>
  <c r="BF570" i="1"/>
  <c r="BT570" i="1"/>
  <c r="BF571" i="1"/>
  <c r="BT571" i="1"/>
  <c r="BF572" i="1"/>
  <c r="BT572" i="1"/>
  <c r="BF573" i="1"/>
  <c r="BT573" i="1"/>
  <c r="BF574" i="1"/>
  <c r="BT574" i="1"/>
  <c r="BT575" i="1"/>
  <c r="BF576" i="1"/>
  <c r="BT576" i="1"/>
  <c r="BF577" i="1"/>
  <c r="BT577" i="1"/>
  <c r="BF578" i="1"/>
  <c r="BT578" i="1"/>
  <c r="BF579" i="1"/>
  <c r="BT579" i="1"/>
  <c r="BF580" i="1"/>
  <c r="BT580" i="1"/>
  <c r="BF581" i="1"/>
  <c r="BT581" i="1"/>
  <c r="BF582" i="1"/>
  <c r="BT582" i="1"/>
  <c r="BT583" i="1"/>
  <c r="BF584" i="1"/>
  <c r="BT584" i="1"/>
  <c r="BF585" i="1"/>
  <c r="BT585" i="1"/>
  <c r="BF586" i="1"/>
  <c r="BT586" i="1"/>
  <c r="BF587" i="1"/>
  <c r="BT587" i="1"/>
  <c r="BF588" i="1"/>
  <c r="BT588" i="1"/>
  <c r="BF589" i="1"/>
  <c r="BT589" i="1"/>
  <c r="BF590" i="1"/>
  <c r="BT590" i="1"/>
  <c r="BF591" i="1"/>
  <c r="BT591" i="1"/>
  <c r="BF592" i="1"/>
  <c r="BT592" i="1"/>
  <c r="BF593" i="1"/>
  <c r="BT593" i="1"/>
  <c r="BT594" i="1"/>
  <c r="BF595" i="1"/>
  <c r="BT595" i="1"/>
  <c r="BF596" i="1"/>
  <c r="BT596" i="1"/>
  <c r="BF597" i="1"/>
  <c r="BT597" i="1"/>
  <c r="BF598" i="1"/>
  <c r="BT598" i="1"/>
  <c r="BF599" i="1"/>
  <c r="BT599" i="1"/>
  <c r="BF600" i="1"/>
  <c r="BT600" i="1"/>
  <c r="BF601" i="1"/>
  <c r="BT601" i="1"/>
  <c r="BF602" i="1"/>
  <c r="BT602" i="1"/>
  <c r="BT603" i="1"/>
  <c r="BT604" i="1"/>
  <c r="BF605" i="1"/>
  <c r="BT605" i="1"/>
  <c r="BF606" i="1"/>
  <c r="BT606" i="1"/>
  <c r="BT607" i="1"/>
  <c r="BF608" i="1"/>
  <c r="BT608" i="1"/>
  <c r="BF609" i="1"/>
  <c r="BT609" i="1"/>
  <c r="BF610" i="1"/>
  <c r="BT610" i="1"/>
  <c r="BF611" i="1"/>
  <c r="BT611" i="1"/>
  <c r="BF612" i="1"/>
  <c r="BT612" i="1"/>
  <c r="BF613" i="1"/>
  <c r="BT613" i="1"/>
  <c r="BF614" i="1"/>
  <c r="BT614" i="1"/>
  <c r="BF615" i="1"/>
  <c r="BT615" i="1"/>
  <c r="BF616" i="1"/>
  <c r="BT616" i="1"/>
  <c r="BF617" i="1"/>
  <c r="BT617" i="1"/>
  <c r="BF618" i="1"/>
  <c r="BT618" i="1"/>
  <c r="BF619" i="1"/>
  <c r="BT619" i="1"/>
  <c r="BF620" i="1"/>
  <c r="BT620" i="1"/>
  <c r="BF621" i="1"/>
  <c r="BT621" i="1"/>
  <c r="BF622" i="1"/>
  <c r="BT622" i="1"/>
  <c r="BF623" i="1"/>
  <c r="BT623" i="1"/>
  <c r="BF624" i="1"/>
  <c r="BT624" i="1"/>
  <c r="BF625" i="1"/>
  <c r="BT625" i="1"/>
  <c r="BF626" i="1"/>
  <c r="BT626" i="1"/>
  <c r="BF627" i="1"/>
  <c r="BT627" i="1"/>
  <c r="BF628" i="1"/>
  <c r="BT628" i="1"/>
  <c r="BF629" i="1"/>
  <c r="BT629" i="1"/>
  <c r="BF630" i="1"/>
  <c r="BT630" i="1"/>
  <c r="BT631" i="1"/>
  <c r="BF632" i="1"/>
  <c r="BT632" i="1"/>
  <c r="BF633" i="1"/>
  <c r="BT633" i="1"/>
  <c r="BF634" i="1"/>
  <c r="BT634" i="1"/>
  <c r="BF635" i="1"/>
  <c r="BT635" i="1"/>
  <c r="BF636" i="1"/>
  <c r="BT636" i="1"/>
  <c r="BF637" i="1"/>
  <c r="BT637" i="1"/>
  <c r="BF638" i="1"/>
  <c r="BT638" i="1"/>
  <c r="BF639" i="1"/>
  <c r="BT639" i="1"/>
  <c r="BF640" i="1"/>
  <c r="BT640" i="1"/>
  <c r="BF641" i="1"/>
  <c r="BT641" i="1"/>
  <c r="BF642" i="1"/>
  <c r="BT642" i="1"/>
  <c r="BF643" i="1"/>
  <c r="BT643" i="1"/>
  <c r="BT644" i="1"/>
  <c r="BF645" i="1"/>
  <c r="BT645" i="1"/>
  <c r="BF646" i="1"/>
  <c r="BT646" i="1"/>
  <c r="BF647" i="1"/>
  <c r="BT647" i="1"/>
  <c r="BF648" i="1"/>
  <c r="BT648" i="1"/>
  <c r="BF649" i="1"/>
  <c r="BT649" i="1"/>
  <c r="BF650" i="1"/>
  <c r="BT650" i="1"/>
  <c r="BF651" i="1"/>
  <c r="BT651" i="1"/>
  <c r="BF652" i="1"/>
  <c r="BT652" i="1"/>
  <c r="BF653" i="1"/>
  <c r="BT653" i="1"/>
  <c r="BF654" i="1"/>
  <c r="BT654" i="1"/>
  <c r="BF655" i="1"/>
  <c r="BT655" i="1"/>
  <c r="BF656" i="1"/>
  <c r="BT656" i="1"/>
  <c r="BF657" i="1"/>
  <c r="BT657" i="1"/>
  <c r="BF658" i="1"/>
  <c r="BT658" i="1"/>
  <c r="BF659" i="1"/>
  <c r="BT659" i="1"/>
  <c r="BF660" i="1"/>
  <c r="BT660" i="1"/>
  <c r="BF661" i="1"/>
  <c r="BT661" i="1"/>
  <c r="BF662" i="1"/>
  <c r="BT662" i="1"/>
  <c r="BF663" i="1"/>
  <c r="BT663" i="1"/>
  <c r="BF664" i="1"/>
  <c r="BT664" i="1"/>
  <c r="BF665" i="1"/>
  <c r="BT665" i="1"/>
  <c r="BF666" i="1"/>
  <c r="BT666" i="1"/>
  <c r="BF667" i="1"/>
  <c r="BT667" i="1"/>
  <c r="BF668" i="1"/>
  <c r="BT668" i="1"/>
  <c r="BT669" i="1"/>
  <c r="BT670" i="1"/>
  <c r="BF671" i="1"/>
  <c r="BT671" i="1"/>
  <c r="BT672" i="1"/>
  <c r="BT673" i="1"/>
  <c r="BF674" i="1"/>
  <c r="BT674" i="1"/>
  <c r="BF675" i="1"/>
  <c r="BT675" i="1"/>
  <c r="BF676" i="1"/>
  <c r="BT676" i="1"/>
  <c r="BF677" i="1"/>
  <c r="BT677" i="1"/>
  <c r="BF678" i="1"/>
  <c r="BT678" i="1"/>
  <c r="BF679" i="1"/>
  <c r="BT679" i="1"/>
  <c r="BF680" i="1"/>
  <c r="BT680" i="1"/>
  <c r="BF681" i="1"/>
  <c r="BT681" i="1"/>
  <c r="BF682" i="1"/>
  <c r="BT682" i="1"/>
  <c r="BF683" i="1"/>
  <c r="BT683" i="1"/>
  <c r="BF684" i="1"/>
  <c r="BT684" i="1"/>
  <c r="BF685" i="1"/>
  <c r="BT685" i="1"/>
  <c r="BF686" i="1"/>
  <c r="BT686" i="1"/>
  <c r="BF687" i="1"/>
  <c r="BT687" i="1"/>
  <c r="BF688" i="1"/>
  <c r="BT688" i="1"/>
  <c r="BF689" i="1"/>
  <c r="BT689" i="1"/>
  <c r="BF690" i="1"/>
  <c r="BT690" i="1"/>
  <c r="BF691" i="1"/>
  <c r="BT691" i="1"/>
  <c r="BF692" i="1"/>
  <c r="BT692" i="1"/>
  <c r="BF693" i="1"/>
  <c r="BT693" i="1"/>
  <c r="BF694" i="1"/>
  <c r="BT694" i="1"/>
  <c r="BF695" i="1"/>
  <c r="BT695" i="1"/>
  <c r="BF696" i="1"/>
  <c r="BT696" i="1"/>
  <c r="BF697" i="1"/>
  <c r="BT697" i="1"/>
  <c r="BF698" i="1"/>
  <c r="BT698" i="1"/>
  <c r="BF699" i="1"/>
  <c r="BT699" i="1"/>
  <c r="BT700" i="1"/>
  <c r="BF701" i="1"/>
  <c r="BT701" i="1"/>
  <c r="BT702" i="1"/>
  <c r="BF703" i="1"/>
  <c r="BT703" i="1"/>
  <c r="BF704" i="1"/>
  <c r="BT704" i="1"/>
  <c r="BF705" i="1"/>
  <c r="BT705" i="1"/>
  <c r="BF706" i="1"/>
  <c r="BT706" i="1"/>
  <c r="BF707" i="1"/>
  <c r="BT707" i="1"/>
  <c r="BF708" i="1"/>
  <c r="BT708" i="1"/>
  <c r="BF709" i="1"/>
  <c r="BT709" i="1"/>
  <c r="BF710" i="1"/>
  <c r="BT710" i="1"/>
  <c r="BF711" i="1"/>
  <c r="BT711" i="1"/>
  <c r="BF712" i="1"/>
  <c r="BT712" i="1"/>
  <c r="BF713" i="1"/>
  <c r="BT713" i="1"/>
  <c r="BF714" i="1"/>
  <c r="BT714" i="1"/>
  <c r="BF715" i="1"/>
  <c r="BT715" i="1"/>
  <c r="BF716" i="1"/>
  <c r="BT716" i="1"/>
  <c r="BF717" i="1"/>
  <c r="BT717" i="1"/>
  <c r="BF718" i="1"/>
  <c r="BT718" i="1"/>
  <c r="BF719" i="1"/>
  <c r="BT719" i="1"/>
  <c r="BF720" i="1"/>
  <c r="BT720" i="1"/>
  <c r="BF721" i="1"/>
  <c r="BT721" i="1"/>
  <c r="BF722" i="1"/>
  <c r="BT722" i="1"/>
  <c r="BF723" i="1"/>
  <c r="BT723" i="1"/>
  <c r="BF724" i="1"/>
  <c r="BT724" i="1"/>
  <c r="BF725" i="1"/>
  <c r="BT725" i="1"/>
  <c r="BT726" i="1"/>
  <c r="BF727" i="1"/>
  <c r="BT727" i="1"/>
  <c r="BF728" i="1"/>
  <c r="BT728" i="1"/>
  <c r="BF729" i="1"/>
  <c r="BT729" i="1"/>
  <c r="BF730" i="1"/>
  <c r="BT730" i="1"/>
  <c r="BF731" i="1"/>
  <c r="BT731" i="1"/>
  <c r="BF732" i="1"/>
  <c r="BT732" i="1"/>
  <c r="BT733" i="1"/>
  <c r="BF734" i="1"/>
  <c r="BT734" i="1"/>
  <c r="BF735" i="1"/>
  <c r="BT735" i="1"/>
  <c r="BF736" i="1"/>
  <c r="BT736" i="1"/>
  <c r="BF737" i="1"/>
  <c r="BT737" i="1"/>
  <c r="BF738" i="1"/>
  <c r="BT738" i="1"/>
  <c r="BF739" i="1"/>
  <c r="BT739" i="1"/>
  <c r="BF740" i="1"/>
  <c r="BT740" i="1"/>
  <c r="BF741" i="1"/>
  <c r="BT741" i="1"/>
  <c r="BF742" i="1"/>
  <c r="BT742" i="1"/>
  <c r="BF743" i="1"/>
  <c r="BT743" i="1"/>
  <c r="BF744" i="1"/>
  <c r="BT744" i="1"/>
  <c r="BF745" i="1"/>
  <c r="BT745" i="1"/>
  <c r="BF746" i="1"/>
  <c r="BT746" i="1"/>
  <c r="BF747" i="1"/>
  <c r="BT747" i="1"/>
  <c r="BF748" i="1"/>
  <c r="BT748" i="1"/>
  <c r="BF749" i="1"/>
  <c r="BT749" i="1"/>
  <c r="BF750" i="1"/>
  <c r="BT750" i="1"/>
  <c r="BF751" i="1"/>
  <c r="BT751" i="1"/>
  <c r="BF752" i="1"/>
  <c r="BT752" i="1"/>
  <c r="BF753" i="1"/>
  <c r="BT753" i="1"/>
  <c r="BF754" i="1"/>
  <c r="BT754" i="1"/>
  <c r="BF755" i="1"/>
  <c r="BT755" i="1"/>
  <c r="BF756" i="1"/>
  <c r="BT756" i="1"/>
  <c r="BF757" i="1"/>
  <c r="BT757" i="1"/>
  <c r="BF758" i="1"/>
  <c r="BT758" i="1"/>
  <c r="BF759" i="1"/>
  <c r="BT759" i="1"/>
  <c r="BF760" i="1"/>
  <c r="BT760" i="1"/>
  <c r="BF761" i="1"/>
  <c r="BT761" i="1"/>
  <c r="BF762" i="1"/>
  <c r="BT762" i="1"/>
  <c r="BF763" i="1"/>
  <c r="BT763" i="1"/>
  <c r="BF764" i="1"/>
  <c r="BT764" i="1"/>
  <c r="BF765" i="1"/>
  <c r="BT765" i="1"/>
  <c r="BF766" i="1"/>
  <c r="BT766" i="1"/>
  <c r="BF767" i="1"/>
  <c r="BT767" i="1"/>
  <c r="BF768" i="1"/>
  <c r="BT768" i="1"/>
  <c r="BT769" i="1"/>
  <c r="BT770" i="1"/>
  <c r="BF771" i="1"/>
  <c r="BT771" i="1"/>
  <c r="BF772" i="1"/>
  <c r="BT772" i="1"/>
  <c r="BF773" i="1"/>
  <c r="BT773" i="1"/>
  <c r="BF774" i="1"/>
  <c r="BT774" i="1"/>
  <c r="BF775" i="1"/>
  <c r="BT775" i="1"/>
  <c r="BF776" i="1"/>
  <c r="BT776" i="1"/>
  <c r="BF777" i="1"/>
  <c r="BT777" i="1"/>
  <c r="BF778" i="1"/>
  <c r="BT778" i="1"/>
  <c r="BF779" i="1"/>
  <c r="BT779" i="1"/>
  <c r="BF780" i="1"/>
  <c r="BT780" i="1"/>
  <c r="BT781" i="1"/>
  <c r="BF782" i="1"/>
  <c r="BT782" i="1"/>
  <c r="BF783" i="1"/>
  <c r="BT783" i="1"/>
  <c r="BF784" i="1"/>
  <c r="BT784" i="1"/>
  <c r="BF785" i="1"/>
  <c r="BT785" i="1"/>
  <c r="BF786" i="1"/>
  <c r="BT786" i="1"/>
  <c r="BF787" i="1"/>
  <c r="BT787" i="1"/>
  <c r="BF788" i="1"/>
  <c r="BT788" i="1"/>
  <c r="BF789" i="1"/>
  <c r="BT789" i="1"/>
  <c r="BF790" i="1"/>
  <c r="BT790" i="1"/>
  <c r="BF791" i="1"/>
  <c r="BT791" i="1"/>
  <c r="BF792" i="1"/>
  <c r="BT792" i="1"/>
  <c r="BF793" i="1"/>
  <c r="BT793" i="1"/>
  <c r="BF794" i="1"/>
  <c r="BT794" i="1"/>
  <c r="BF795" i="1"/>
  <c r="BT795" i="1"/>
  <c r="BF796" i="1"/>
  <c r="BT796" i="1"/>
  <c r="BF797" i="1"/>
  <c r="BT797" i="1"/>
  <c r="BF798" i="1"/>
  <c r="BT798" i="1"/>
  <c r="BT799" i="1"/>
  <c r="BF800" i="1"/>
  <c r="BT800" i="1"/>
  <c r="BF801" i="1"/>
  <c r="BT801" i="1"/>
  <c r="BF802" i="1"/>
  <c r="BT802" i="1"/>
  <c r="BF803" i="1"/>
  <c r="BT803" i="1"/>
  <c r="BF804" i="1"/>
  <c r="BT804" i="1"/>
  <c r="BF805" i="1"/>
  <c r="BT805" i="1"/>
  <c r="BT806" i="1"/>
  <c r="BF807" i="1"/>
  <c r="BT807" i="1"/>
  <c r="BF808" i="1"/>
  <c r="BT808" i="1"/>
  <c r="BF809" i="1"/>
  <c r="BT809" i="1"/>
  <c r="BF810" i="1"/>
  <c r="BT810" i="1"/>
  <c r="BF811" i="1"/>
  <c r="BT811" i="1"/>
  <c r="BF812" i="1"/>
  <c r="BT812" i="1"/>
  <c r="BF813" i="1"/>
  <c r="BT813" i="1"/>
  <c r="BF814" i="1"/>
  <c r="BT814" i="1"/>
  <c r="BF815" i="1"/>
  <c r="BT815" i="1"/>
  <c r="BF816" i="1"/>
  <c r="BT816" i="1"/>
  <c r="BF817" i="1"/>
  <c r="BT817" i="1"/>
  <c r="BF818" i="1"/>
  <c r="BT818" i="1"/>
  <c r="BF819" i="1"/>
  <c r="BT819" i="1"/>
  <c r="BF820" i="1"/>
  <c r="BT820" i="1"/>
  <c r="BF821" i="1"/>
  <c r="BT821" i="1"/>
  <c r="BF822" i="1"/>
  <c r="BT822" i="1"/>
  <c r="BF823" i="1"/>
  <c r="BT823" i="1"/>
  <c r="BF824" i="1"/>
  <c r="BT824" i="1"/>
  <c r="BF825" i="1"/>
  <c r="BT825" i="1"/>
  <c r="BF826" i="1"/>
  <c r="BT826" i="1"/>
  <c r="BF827" i="1"/>
  <c r="BT827" i="1"/>
  <c r="BF828" i="1"/>
  <c r="BT828" i="1"/>
  <c r="BF829" i="1"/>
  <c r="BT829" i="1"/>
  <c r="BF830" i="1"/>
  <c r="BT830" i="1"/>
  <c r="BF831" i="1"/>
  <c r="BT831" i="1"/>
  <c r="BF832" i="1"/>
  <c r="BT832" i="1"/>
  <c r="BF833" i="1"/>
  <c r="BT833" i="1"/>
  <c r="BF834" i="1"/>
  <c r="BT834" i="1"/>
  <c r="BF835" i="1"/>
  <c r="BT835" i="1"/>
  <c r="BF836" i="1"/>
  <c r="BT836" i="1"/>
  <c r="BF837" i="1"/>
  <c r="BT837" i="1"/>
  <c r="BF838" i="1"/>
  <c r="BT838" i="1"/>
  <c r="BF839" i="1"/>
  <c r="BT839" i="1"/>
  <c r="BF840" i="1"/>
  <c r="BT840" i="1"/>
  <c r="BF841" i="1"/>
  <c r="BT841" i="1"/>
  <c r="BF842" i="1"/>
  <c r="BT842" i="1"/>
  <c r="BF843" i="1"/>
  <c r="BT843" i="1"/>
  <c r="BF844" i="1"/>
  <c r="BT844" i="1"/>
  <c r="BF845" i="1"/>
  <c r="BT845" i="1"/>
  <c r="BF846" i="1"/>
  <c r="BT846" i="1"/>
  <c r="BF847" i="1"/>
  <c r="BT847" i="1"/>
  <c r="BF848" i="1"/>
  <c r="BT848" i="1"/>
  <c r="BF849" i="1"/>
  <c r="BT849" i="1"/>
  <c r="BF850" i="1"/>
  <c r="BT850" i="1"/>
  <c r="BF851" i="1"/>
  <c r="BT851" i="1"/>
  <c r="BF852" i="1"/>
  <c r="BT852" i="1"/>
  <c r="BF853" i="1"/>
  <c r="BT853" i="1"/>
  <c r="BF854" i="1"/>
  <c r="BT854" i="1"/>
  <c r="BF855" i="1"/>
  <c r="BT855" i="1"/>
  <c r="BF856" i="1"/>
  <c r="BT856" i="1"/>
  <c r="BF857" i="1"/>
  <c r="BT857" i="1"/>
  <c r="BF858" i="1"/>
  <c r="BT858" i="1"/>
  <c r="BF859" i="1"/>
  <c r="BT859" i="1"/>
  <c r="BF860" i="1"/>
  <c r="BT860" i="1"/>
  <c r="BF861" i="1"/>
  <c r="BT861" i="1"/>
  <c r="BF862" i="1"/>
  <c r="BT862" i="1"/>
  <c r="BF863" i="1"/>
  <c r="BT863" i="1"/>
  <c r="BF864" i="1"/>
  <c r="BT864" i="1"/>
  <c r="BF865" i="1"/>
  <c r="BT865" i="1"/>
  <c r="BF866" i="1"/>
  <c r="BT866" i="1"/>
  <c r="BF867" i="1"/>
  <c r="BT867" i="1"/>
  <c r="BT868" i="1"/>
  <c r="BF869" i="1"/>
  <c r="BT869" i="1"/>
  <c r="BF870" i="1"/>
  <c r="BT870" i="1"/>
  <c r="BF871" i="1"/>
  <c r="BT871" i="1"/>
  <c r="BF872" i="1"/>
  <c r="BT872" i="1"/>
  <c r="BF873" i="1"/>
  <c r="BT873" i="1"/>
  <c r="BF874" i="1"/>
  <c r="BT874" i="1"/>
  <c r="BF875" i="1"/>
  <c r="BT875" i="1"/>
  <c r="BF876" i="1"/>
  <c r="BT876" i="1"/>
  <c r="BF877" i="1"/>
  <c r="BT877" i="1"/>
  <c r="BF878" i="1"/>
  <c r="BT878" i="1"/>
  <c r="BF879" i="1"/>
  <c r="BT879" i="1"/>
  <c r="BF880" i="1"/>
  <c r="BT880" i="1"/>
  <c r="BF881" i="1"/>
  <c r="BT881" i="1"/>
  <c r="BF882" i="1"/>
  <c r="BT882" i="1"/>
  <c r="BF883" i="1"/>
  <c r="BT883" i="1"/>
  <c r="BF884" i="1"/>
  <c r="BT884" i="1"/>
  <c r="BF885" i="1"/>
  <c r="BT885" i="1"/>
  <c r="BF886" i="1"/>
  <c r="BT886" i="1"/>
  <c r="BF887" i="1"/>
  <c r="BT887" i="1"/>
  <c r="BF888" i="1"/>
  <c r="BT888" i="1"/>
  <c r="BF889" i="1"/>
  <c r="BT889" i="1"/>
  <c r="BF890" i="1"/>
  <c r="BT890" i="1"/>
  <c r="BF891" i="1"/>
  <c r="BT891" i="1"/>
  <c r="BF892" i="1"/>
  <c r="BT892" i="1"/>
  <c r="BF893" i="1"/>
  <c r="BT893" i="1"/>
  <c r="BF894" i="1"/>
  <c r="BT894" i="1"/>
  <c r="BF895" i="1"/>
  <c r="BT895" i="1"/>
  <c r="BF896" i="1"/>
  <c r="BT896" i="1"/>
  <c r="BF897" i="1"/>
  <c r="BT897" i="1"/>
  <c r="BF898" i="1"/>
  <c r="BT898" i="1"/>
  <c r="BF899" i="1"/>
  <c r="BT899" i="1"/>
  <c r="BT900" i="1"/>
  <c r="BF901" i="1"/>
  <c r="BT901" i="1"/>
  <c r="BF902" i="1"/>
  <c r="BT902" i="1"/>
  <c r="BF903" i="1"/>
  <c r="BT903" i="1"/>
  <c r="BF904" i="1"/>
  <c r="BT904" i="1"/>
  <c r="BF905" i="1"/>
  <c r="BT905" i="1"/>
  <c r="BF906" i="1"/>
  <c r="BT906" i="1"/>
  <c r="BF907" i="1"/>
  <c r="BT907" i="1"/>
  <c r="BF908" i="1"/>
  <c r="BT908" i="1"/>
  <c r="BF909" i="1"/>
  <c r="BT909" i="1"/>
  <c r="BF910" i="1"/>
  <c r="BT910" i="1"/>
  <c r="BF911" i="1"/>
  <c r="BT911" i="1"/>
  <c r="BF912" i="1"/>
  <c r="BT912" i="1"/>
  <c r="BT913" i="1"/>
  <c r="BF914" i="1"/>
  <c r="BT914" i="1"/>
  <c r="BF915" i="1"/>
  <c r="BT915" i="1"/>
  <c r="BT916" i="1"/>
  <c r="BF917" i="1"/>
  <c r="BT917" i="1"/>
  <c r="BF918" i="1"/>
  <c r="BT918" i="1"/>
  <c r="BF919" i="1"/>
  <c r="BT919" i="1"/>
  <c r="BF920" i="1"/>
  <c r="BT920" i="1"/>
  <c r="BF921" i="1"/>
  <c r="BT921" i="1"/>
  <c r="BF922" i="1"/>
  <c r="BT922" i="1"/>
  <c r="BF923" i="1"/>
  <c r="BT923" i="1"/>
  <c r="BF924" i="1"/>
  <c r="BT924" i="1"/>
  <c r="BF925" i="1"/>
  <c r="BT925" i="1"/>
  <c r="BF926" i="1"/>
  <c r="BT926" i="1"/>
  <c r="BF927" i="1"/>
  <c r="BT927" i="1"/>
  <c r="BF928" i="1"/>
  <c r="BT928" i="1"/>
  <c r="BT929" i="1"/>
  <c r="BF930" i="1"/>
  <c r="BT930" i="1"/>
  <c r="BF931" i="1"/>
  <c r="BT931" i="1"/>
  <c r="BT932" i="1"/>
  <c r="BF933" i="1"/>
  <c r="BT933" i="1"/>
  <c r="BF934" i="1"/>
  <c r="BT934" i="1"/>
  <c r="BF935" i="1"/>
  <c r="BT935" i="1"/>
  <c r="BF936" i="1"/>
  <c r="BT936" i="1"/>
  <c r="BF937" i="1"/>
  <c r="BT937" i="1"/>
  <c r="BF938" i="1"/>
  <c r="BT938" i="1"/>
  <c r="BT939" i="1"/>
  <c r="BF940" i="1"/>
  <c r="BT940" i="1"/>
  <c r="BF941" i="1"/>
  <c r="BT941" i="1"/>
  <c r="BF942" i="1"/>
  <c r="BT942" i="1"/>
  <c r="BF943" i="1"/>
  <c r="BT943" i="1"/>
  <c r="BF944" i="1"/>
  <c r="BT944" i="1"/>
  <c r="BF945" i="1"/>
  <c r="BT945" i="1"/>
  <c r="BF946" i="1"/>
  <c r="BT946" i="1"/>
  <c r="BF947" i="1"/>
  <c r="BT947" i="1"/>
  <c r="BF948" i="1"/>
  <c r="BT948" i="1"/>
  <c r="BF949" i="1"/>
  <c r="BT949" i="1"/>
  <c r="BF950" i="1"/>
  <c r="BT950" i="1"/>
  <c r="BF951" i="1"/>
  <c r="BT951" i="1"/>
  <c r="BF952" i="1"/>
  <c r="BT952" i="1"/>
  <c r="BF953" i="1"/>
  <c r="BT953" i="1"/>
  <c r="BF954" i="1"/>
  <c r="BT954" i="1"/>
  <c r="BT955" i="1"/>
  <c r="BF956" i="1"/>
  <c r="BT956" i="1"/>
  <c r="BF957" i="1"/>
  <c r="BT957" i="1"/>
  <c r="BF958" i="1"/>
  <c r="BT958" i="1"/>
  <c r="BF959" i="1"/>
  <c r="BT959" i="1"/>
  <c r="BF960" i="1"/>
  <c r="BT960" i="1"/>
  <c r="BF961" i="1"/>
  <c r="BT961" i="1"/>
  <c r="BF962" i="1"/>
  <c r="BT962" i="1"/>
  <c r="BF963" i="1"/>
  <c r="BT963" i="1"/>
  <c r="BF964" i="1"/>
  <c r="BT964" i="1"/>
  <c r="BF965" i="1"/>
  <c r="BT965" i="1"/>
  <c r="BF966" i="1"/>
  <c r="BT966" i="1"/>
  <c r="BF967" i="1"/>
  <c r="BT967" i="1"/>
  <c r="BF968" i="1"/>
  <c r="BT968" i="1"/>
  <c r="BF969" i="1"/>
  <c r="BT969" i="1"/>
  <c r="BF970" i="1"/>
  <c r="BT970" i="1"/>
  <c r="BF971" i="1"/>
  <c r="BT971" i="1"/>
  <c r="BF972" i="1"/>
  <c r="BT972" i="1"/>
  <c r="BF973" i="1"/>
  <c r="BT973" i="1"/>
  <c r="BF974" i="1"/>
  <c r="BT974" i="1"/>
  <c r="BF975" i="1"/>
  <c r="BT975" i="1"/>
  <c r="BF976" i="1"/>
  <c r="BT976" i="1"/>
  <c r="BF977" i="1"/>
  <c r="BT977" i="1"/>
  <c r="BT978" i="1"/>
  <c r="BF979" i="1"/>
  <c r="BT979" i="1"/>
  <c r="BF980" i="1"/>
  <c r="BT980" i="1"/>
  <c r="BF981" i="1"/>
  <c r="BT981" i="1"/>
  <c r="BF982" i="1"/>
  <c r="BT982" i="1"/>
  <c r="BF983" i="1"/>
  <c r="BT983" i="1"/>
  <c r="BF984" i="1"/>
  <c r="BT984" i="1"/>
  <c r="BF985" i="1"/>
  <c r="BT985" i="1"/>
  <c r="BF986" i="1"/>
  <c r="BT986" i="1"/>
  <c r="BF987" i="1"/>
  <c r="BT987" i="1"/>
  <c r="BF988" i="1"/>
  <c r="BT988" i="1"/>
  <c r="BF989" i="1"/>
  <c r="BT989" i="1"/>
  <c r="BF990" i="1"/>
  <c r="BT990" i="1"/>
  <c r="BF991" i="1"/>
  <c r="BT991" i="1"/>
  <c r="BF992" i="1"/>
  <c r="BT992" i="1"/>
  <c r="BF993" i="1"/>
  <c r="BT993" i="1"/>
  <c r="BF994" i="1"/>
  <c r="BT994" i="1"/>
  <c r="BF995" i="1"/>
  <c r="BT995" i="1"/>
  <c r="BF996" i="1"/>
  <c r="BT996" i="1"/>
  <c r="BF997" i="1"/>
  <c r="BT997" i="1"/>
  <c r="BF998" i="1"/>
  <c r="BT998" i="1"/>
  <c r="BF999" i="1"/>
  <c r="BT999" i="1"/>
  <c r="BT1000" i="1"/>
  <c r="BF1001" i="1"/>
  <c r="BT1001" i="1"/>
</calcChain>
</file>

<file path=xl/sharedStrings.xml><?xml version="1.0" encoding="utf-8"?>
<sst xmlns="http://schemas.openxmlformats.org/spreadsheetml/2006/main" count="59860" uniqueCount="15654">
  <si>
    <t>Publication Type</t>
  </si>
  <si>
    <t>Authors</t>
  </si>
  <si>
    <t>Book Authors</t>
  </si>
  <si>
    <t>Book Editors</t>
  </si>
  <si>
    <t>Book Group Authors</t>
  </si>
  <si>
    <t>Author Full Names</t>
  </si>
  <si>
    <t>Book Author Full Names</t>
  </si>
  <si>
    <t>Group Authors</t>
  </si>
  <si>
    <t>Article Title</t>
  </si>
  <si>
    <t>Source Title</t>
  </si>
  <si>
    <t>Book Series Title</t>
  </si>
  <si>
    <t>Book Series Subtitle</t>
  </si>
  <si>
    <t>Language</t>
  </si>
  <si>
    <t>Document Type</t>
  </si>
  <si>
    <t>Conference Title</t>
  </si>
  <si>
    <t>Conference Date</t>
  </si>
  <si>
    <t>Conference Location</t>
  </si>
  <si>
    <t>Conference Sponsor</t>
  </si>
  <si>
    <t>Conference Host</t>
  </si>
  <si>
    <t>Author Keywords</t>
  </si>
  <si>
    <t>Keywords Plus</t>
  </si>
  <si>
    <t>Abstract</t>
  </si>
  <si>
    <t>Addresses</t>
  </si>
  <si>
    <t>Affiliations</t>
  </si>
  <si>
    <t>Reprint Addresses</t>
  </si>
  <si>
    <t>Email Addresses</t>
  </si>
  <si>
    <t>Researcher Ids</t>
  </si>
  <si>
    <t>ORCIDs</t>
  </si>
  <si>
    <t>Funding Orgs</t>
  </si>
  <si>
    <t>Funding Name Preferred</t>
  </si>
  <si>
    <t>Funding Text</t>
  </si>
  <si>
    <t>Cited References</t>
  </si>
  <si>
    <t>Cited Reference Count</t>
  </si>
  <si>
    <t>Times Cited, WoS Core</t>
  </si>
  <si>
    <t>Times Cited, All Databases</t>
  </si>
  <si>
    <t>180 Day Usage Count</t>
  </si>
  <si>
    <t>Since 2013 Usage Count</t>
  </si>
  <si>
    <t>Publisher</t>
  </si>
  <si>
    <t>Publisher City</t>
  </si>
  <si>
    <t>Publisher Address</t>
  </si>
  <si>
    <t>ISSN</t>
  </si>
  <si>
    <t>eISSN</t>
  </si>
  <si>
    <t>ISBN</t>
  </si>
  <si>
    <t>Journal Abbreviation</t>
  </si>
  <si>
    <t>Journal ISO Abbreviation</t>
  </si>
  <si>
    <t>Publication Date</t>
  </si>
  <si>
    <t>Publication Year</t>
  </si>
  <si>
    <t>Volume</t>
  </si>
  <si>
    <t>Issue</t>
  </si>
  <si>
    <t>Part Number</t>
  </si>
  <si>
    <t>Supplement</t>
  </si>
  <si>
    <t>Special Issue</t>
  </si>
  <si>
    <t>Meeting Abstract</t>
  </si>
  <si>
    <t>Start Page</t>
  </si>
  <si>
    <t>End Page</t>
  </si>
  <si>
    <t>Article Number</t>
  </si>
  <si>
    <t>DOI</t>
  </si>
  <si>
    <t>DOI Link</t>
  </si>
  <si>
    <t>Book DOI</t>
  </si>
  <si>
    <t>Early Access Date</t>
  </si>
  <si>
    <t>Number of Pages</t>
  </si>
  <si>
    <t>WoS Categories</t>
  </si>
  <si>
    <t>Web of Science Index</t>
  </si>
  <si>
    <t>Research Areas</t>
  </si>
  <si>
    <t>IDS Number</t>
  </si>
  <si>
    <t>Pubmed Id</t>
  </si>
  <si>
    <t>Open Access Designations</t>
  </si>
  <si>
    <t>Highly Cited Status</t>
  </si>
  <si>
    <t>Hot Paper Status</t>
  </si>
  <si>
    <t>Date of Export</t>
  </si>
  <si>
    <t>UT (Unique WOS ID)</t>
  </si>
  <si>
    <t>Web of Science Record</t>
  </si>
  <si>
    <t>J</t>
  </si>
  <si>
    <t>Callaghan, PT; Coy, A; Dykstra, R; Eccles, CA; Halse, ME; Hunter, MW; Mercier, OR; Robinson, JN</t>
  </si>
  <si>
    <t/>
  </si>
  <si>
    <t>Callaghan, P. T.; Coy, A.; Dykstra, R.; Eccles, C. A.; Halse, M. E.; Hunter, M. W.; Mercier, O. R.; Robinson, J. N.</t>
  </si>
  <si>
    <t>New Zealand developments in earth's field NMR</t>
  </si>
  <si>
    <t>APPLIED MAGNETIC RESONANCE</t>
  </si>
  <si>
    <t>English</t>
  </si>
  <si>
    <t>Article</t>
  </si>
  <si>
    <t>NUCLEAR-MAGNETIC-RESONANCE; SEA-ICE; SPIN-ECHO; SELF-DIFFUSION; RANGE</t>
  </si>
  <si>
    <t>We review here two decades of development of Earth's field nuclear magnetic resonance (NMR), starting with the first demonstration of resonant refocusing and the generation of spin echoes, the first measurement of diffusion using Earth's field NMR, and its application to Antarctic research, the adaptation of the apparatus to allow its use indoors, in a conventional laboratory setting, and finally, the construction of a flexible laboratory-based Earth's field NMR system capable of not only a range of relaxation and spectroscopy applications but also the straightforward demonstration of NMR Imaging.</t>
  </si>
  <si>
    <t>Victoria Univ Wellington, MacDiarmid Inst, Wellington, New Zealand; Magritek, Wellington, New Zealand; Massey Univ, Inst Fundamental Sci, Palmerston North, New Zealand</t>
  </si>
  <si>
    <t>Victoria University Wellington; Massey University</t>
  </si>
  <si>
    <t>Callaghan, PT (corresponding author), Victoria Univ Wellington, MacDiarmid Inst, POB 600, Wellington, New Zealand.</t>
  </si>
  <si>
    <t>paul.callaglian@vuw.ac.nz</t>
  </si>
  <si>
    <t>Halse, Meghan E/H-8628-2012; Halse, Meghan/AAA-9131-2020</t>
  </si>
  <si>
    <t>Halse, Meghan/0000-0002-3605-5551; Mercier, Ocean/0000-0003-1296-9954</t>
  </si>
  <si>
    <t>SPRINGER WIEN</t>
  </si>
  <si>
    <t>WIEN</t>
  </si>
  <si>
    <t>SACHSENPLATZ 4-6, PO BOX 89, A-1201 WIEN, AUSTRIA</t>
  </si>
  <si>
    <t>0937-9347</t>
  </si>
  <si>
    <t>APPL MAGN RESON</t>
  </si>
  <si>
    <t>Appl. Magn. Reson.</t>
  </si>
  <si>
    <t>1-2</t>
  </si>
  <si>
    <t>10.1007/s00723-007-0012-5</t>
  </si>
  <si>
    <t>Physics, Atomic, Molecular &amp; Chemical; Spectroscopy</t>
  </si>
  <si>
    <t>Science Citation Index Expanded (SCI-EXPANDED)</t>
  </si>
  <si>
    <t>Physics; Spectroscopy</t>
  </si>
  <si>
    <t>208KZ</t>
  </si>
  <si>
    <t>2024-04-21</t>
  </si>
  <si>
    <t>WOS:000249319500006</t>
  </si>
  <si>
    <t>Lamare, MD; Barker, MF; Lesser, MP</t>
  </si>
  <si>
    <t>Lamare, Miles D.; Barker, Mike F.; Lesser, Michael P.</t>
  </si>
  <si>
    <t>In situ rates of DNA damage and abnormal development in Antarctic and non-Antarctic sea urchin embryos</t>
  </si>
  <si>
    <t>AQUATIC BIOLOGY</t>
  </si>
  <si>
    <t>UV-R; climate change; cyclobutane pyrimidine dimers; CPDs; Antarctica; echinoid; embryo</t>
  </si>
  <si>
    <t>SOLAR ULTRAVIOLET-RADIATION; AMINO-ACIDS; STRONGYLOCENTROTUS-DROEBACHIENSIS; MARINE-PHYTOPLANKTON; OZONE DEPLETION; REPAIR; ZOOPLANKTON; IMPACT; ENVIRONMENT; ORGANISMS</t>
  </si>
  <si>
    <t>To understand the in situ effects of ultraviolet radiation (UV-R) on the development of planktonic embryos from a range of latitudes, we quantified rates of DNA damage (cyclobutane pyrimidine dimer [CPD] production) and abnormal development in embryos of 4 sea urchin species: Sterechinus neumayeri (Antarctica), Evechinus chloroticus (New Zealand), Diadema savignyi and Tripneustes gratilla (Cook Islands). Quantifications were made using in situ experimental techniques that were standardised to allow direct comparisons among species. Captive embryos were held on moored experimental racks for 2 to 5 d and exposed to one of 3 light treatments: (1) full ambient light; (2) visible light but no UV-R; or (3) visible light and UV-A but no UV-B. Each treatment was repeated at 3 depths (0.5, 1.0, and 4 or 5 in). Ambient UV-R irradiance was highest during the tropical exposures, although UV-R dose during experiments was greatest in Antarctica, DNA damage (CPD concentration) was significantly higher in Antarctic embryos (up to 30.8 CPDs Mb(-1) DNA) compared to New Zealand (16.5 CPDs Mb(-1) DNA) and tropical species (2.2 and 3.0 CPDs Mb(-1) DNA, respectively), with damage decreasing with depth. DNA damage was positively related to total UV-B dose accumulated during each experiment. Exposure to UV-R increased abnormal development, with rates generally higher in Antarctic embryos. High abnormality rates were associated with both UV-B and UV-A exposure. The greater sensitivity of Antarctic embryos to UV-R is consistent with their slow metabolism, low concentrations of sunscreens, and slow rates of DNA repair compared with temperate and tropical species.</t>
  </si>
  <si>
    <t>[Lamare, Miles D.; Barker, Mike F.] Univ Otago, Dept Marine Sci, Dunedin 9054, New Zealand; [Lesser, Michael P.] Univ New Hampshire, Dept Zool, Durham, NH 03824 USA; [Lesser, Michael P.] Univ New Hampshire, Ctr Marine Biol, Durham, NH 03824 USA</t>
  </si>
  <si>
    <t>University of Otago; University System Of New Hampshire; University of New Hampshire; University System Of New Hampshire; University of New Hampshire</t>
  </si>
  <si>
    <t>Lamare, MD (corresponding author), Univ Otago, Dept Marine Sci, Dunedin 9054, New Zealand.</t>
  </si>
  <si>
    <t>miles.lamare@otago.ac.nz</t>
  </si>
  <si>
    <t>Lamare, Miles M/A-7020-2010</t>
  </si>
  <si>
    <t>Lamare, Miles/0000-0001-8656-7240</t>
  </si>
  <si>
    <t>INTER-RESEARCH</t>
  </si>
  <si>
    <t>OLDENDORF LUHE</t>
  </si>
  <si>
    <t>NORDBUNTE 23, D-21385 OLDENDORF LUHE, GERMANY</t>
  </si>
  <si>
    <t>1864-7790</t>
  </si>
  <si>
    <t>AQUAT BIOL</t>
  </si>
  <si>
    <t>Aquat. Biol.</t>
  </si>
  <si>
    <t>10.3354/ab00003</t>
  </si>
  <si>
    <t>Marine &amp; Freshwater Biology</t>
  </si>
  <si>
    <t>350GO</t>
  </si>
  <si>
    <t>Bronze</t>
  </si>
  <si>
    <t>WOS:000259340900004</t>
  </si>
  <si>
    <t>Clark, MS; Dupont, S; Rossetti, H; Burns, G; Thorndyke, MC; Peck, LS</t>
  </si>
  <si>
    <t>Clark, Melody S.; Dupont, Samuel; Rossetti, Helen; Burns, Gavin; Thorndyke, Michael C.; Peck, Lloyd S.</t>
  </si>
  <si>
    <t>Delayed arm regeneration in the Antarctic brittle star Ophionotus victoriae</t>
  </si>
  <si>
    <t>regeneration; echinoderm; ophiuroid; wound healing; Antarctic</t>
  </si>
  <si>
    <t>ECHINODERMATA; OPHIUROIDEA; DISTURBANCE; PREDATION; BIOLOGY; GROWTH; SITE</t>
  </si>
  <si>
    <t>We describe the levels of natural arm damage in the Antarctic brittle star Ophionotus victoriae and the rate of arm regeneration over the period of 1 yr, as measured in our aquarium facilities at Rothera Point, West Antarctic Peninsula. The natural incidence of arm damage in O. victoriae is high (97 % of individuals examined). The rate of regeneration was 0.44 mm wk(-1), which is slow, but within the range of data from temperate brittle stars and also in line with data from the literature showing a general trend of decreasing arm regeneration rate with temperature. The Q(10) for arm regeneration rate of 2.6 across brittle stars is within the expected biological range. However, O. victoriae arm regeneration experiences a lag phase of up to 5 mo before reproducible amounts of new tissue are produced. Such a long lag phase has not been documented for any other brittle star species and produces a range of Q(10) values from 3.6 (when compared to the slowest documented lag phase for a temperate brittle star) to exceptionally high Q(10) values of 14.9 and 15.4 (when either fastest or average regeneration times are considered for temperate brittle stars and this Antarctic species). This indicates that the initial process of arm regeneration in O. victoriae is either different to that of other brittle stars or it is dependent on factors other than the effects of temperature on enzyme-mediated biochemical reactions, such as gonadal cycles and seasonality.</t>
  </si>
  <si>
    <t>[Clark, Melody S.; Rossetti, Helen; Burns, Gavin; Peck, Lloyd S.] British Antarctic Survey, NERC, Cambridge CB3 0ET, England; [Dupont, Samuel; Thorndyke, Michael C.] Royal Swedish Acad Sci, Kristineberg Marine Stn, S-45034 Fiskebackskil, Sweden</t>
  </si>
  <si>
    <t>UK Research &amp; Innovation (UKRI); Natural Environment Research Council (NERC); NERC British Antarctic Survey; Royal Swedish Academy of Sciences</t>
  </si>
  <si>
    <t>Clark, MS (corresponding author), British Antarctic Survey, NERC, High Cross,Madingley Rd, Cambridge CB3 0ET, England.</t>
  </si>
  <si>
    <t>mscl@bas.ac.Lik</t>
  </si>
  <si>
    <t>Dupont, Sam T/F-5527-2013; Clark, Melody/D-7371-2014</t>
  </si>
  <si>
    <t>Clark, Melody/0000-0002-3442-3824</t>
  </si>
  <si>
    <t>the NERC National Facility for Scientific Diving; the Marine Genomics Europe EU Network of Excellence [505403]; the Kristineberg Marine Research Centre, Sweden; NERC [bas010015, dml011000] Funding Source: UKRI; Natural Environment Research Council [dml011000, bas010015] Funding Source: researchfish</t>
  </si>
  <si>
    <t>the NERC National Facility for Scientific Diving(UK Research &amp; Innovation (UKRI)Natural Environment Research Council (NERC)); the Marine Genomics Europe EU Network of Excellence; the Kristineberg Marine Research Centre, Sweden; NERC(UK Research &amp; Innovation (UKRI)Natural Environment Research Council (NERC)); Natural Environment Research Council(UK Research &amp; Innovation (UKRI)Natural Environment Research Council (NERC))</t>
  </si>
  <si>
    <t>Rothera dive team for help with specimen collection and Dave Barnes for critical reading of the manuscript. Overall diving support was provided by the NERC National Facility for Scientific Diving at Oban. This paper was produced at BAS within the BIOREACH/BIOFLAME BAS Q4 core science programme. Funding was also provided by the Marine Genomics Europe EU Network of Excellence (grant ref: 505403), as part of a collaborative project with the Kristineberg Marine Research Centre, Sweden. We also thank Professor Jim McClintock and 2 anonymous reviewers for their comments, which improved the manuscript.</t>
  </si>
  <si>
    <t>1864-7782</t>
  </si>
  <si>
    <t>10.3354/ab00004</t>
  </si>
  <si>
    <t>WOS:000259340900006</t>
  </si>
  <si>
    <t>Saunders, KM; McMinn, A; Roberts, D; Hodgson, DA; Heijnis, H</t>
  </si>
  <si>
    <t>Saunders, Krystyna M.; McMinn, Andrew; Roberts, Donna; Hodgson, Dominic A.; Heijnis, Henk</t>
  </si>
  <si>
    <t>Recent human-induced salinity changes in Ramsar-listed Orielton Lagoon, south-east Tasmania, Australia: a new approach for coastal lagoon conservation and management</t>
  </si>
  <si>
    <t>AQUATIC CONSERVATION-MARINE AND FRESHWATER ECOSYSTEMS</t>
  </si>
  <si>
    <t>human impact; coastal managernent.; Ramsar; salinity; diatoms; Tasmania; Australia</t>
  </si>
  <si>
    <t>DIATOM ASSEMBLAGES; VICTORIA; PB-210; LAKE; COMMUNITIES; PHOSPHORUS; INDICATORS</t>
  </si>
  <si>
    <t>1. Many coastal lagoons in eastern Australia have changed as a result of recent human activities. However, it is often difficult to determine the extent of change and the ecological implications. A palaeoecological approach allows a quantitative assessment of how an aquatic ecosystem changes and responds to human impacts beyond what is possible with historical data or monitoring programmes. 2. Orielton Lagoon (south-cast Tasmania, Australia) is a Ramsar-listed coastal wetland of international importance for conservation. This study was undertaken at the site to determine whether recent anthropogenic hydrological modifications to the lagoon had influenced its ecology, particularly salinity, and compromised its Ramsar status. 3. A diatom-salinity transfer function was constructed from a training data set of 96 diatom taxa from 34 sampling sites in 19 lagoons along the east coast of Tasmania. 4. The salinity of Orielton Lagoon has changed in response to a causeway constructed across its mouth, which has transformed the lagoon from an open marine environment to an enclosed, virtually stagnant, brackish water body. 5. These changes have compromised the protected coastal wetland status of Orielton Lagoon. Environmental remediation attempts have since partially restored the natural hydrology of the lagoon and it is now returning towards the state it was in prior to causeway construction. 6. A palacoecological approach using diatoms was found to be successful in reconstructing recent salinity changes and investigating human impacts on Orielton Lagoon over the last 50-55 years. Copyright (c) 2006 John Wiley &amp; Sons, Ltd.</t>
  </si>
  <si>
    <t>Univ Tasmania, IASOS, Hobart, Tas 7001, Australia; NERC, British Antarctic Survey, Cambridge, England; Australian Nucl Sci &amp; Technol Org, Environm Div, Menai, NSW, Australia</t>
  </si>
  <si>
    <t>University of Tasmania; UK Research &amp; Innovation (UKRI); Natural Environment Research Council (NERC); NERC British Antarctic Survey; Australian Nuclear Science &amp; Technology Organisation</t>
  </si>
  <si>
    <t>Saunders, KM (corresponding author), Univ Tasmania, IASOS, Private Bag 77, Hobart, Tas 7001, Australia.</t>
  </si>
  <si>
    <t>saunderk@utas.edu.au</t>
  </si>
  <si>
    <t>McMinn, Andrew/A-9910-2008; Heijnis, Hendrik/A-6673-2010; Saunders, Krystyna/G-1368-2019</t>
  </si>
  <si>
    <t>Saunders, Krystyna/0000-0002-6800-2630; Roberts, Donna/0000-0001-6701-6662; Heijnis, Hendrik/0000-0002-7601-3452</t>
  </si>
  <si>
    <t>Natural Environment Research Council [bas010016] Funding Source: researchfish; NERC [bas010016] Funding Source: UKRI</t>
  </si>
  <si>
    <t>Natural Environment Research Council(UK Research &amp; Innovation (UKRI)Natural Environment Research Council (NERC)); NERC(UK Research &amp; Innovation (UKRI)Natural Environment Research Council (NERC))</t>
  </si>
  <si>
    <t>WILEY</t>
  </si>
  <si>
    <t>HOBOKEN</t>
  </si>
  <si>
    <t>111 RIVER ST, HOBOKEN 07030-5774, NJ USA</t>
  </si>
  <si>
    <t>1052-7613</t>
  </si>
  <si>
    <t>1099-0755</t>
  </si>
  <si>
    <t>AQUAT CONSERV</t>
  </si>
  <si>
    <t>Aquat. Conserv.-Mar. Freshw. Ecosyst.</t>
  </si>
  <si>
    <t>JAN-FEB</t>
  </si>
  <si>
    <t>10.1002/aqc.732</t>
  </si>
  <si>
    <t>Environmental Sciences; Marine &amp; Freshwater Biology; Water Resources</t>
  </si>
  <si>
    <t>Environmental Sciences &amp; Ecology; Marine &amp; Freshwater Biology; Water Resources</t>
  </si>
  <si>
    <t>128NR</t>
  </si>
  <si>
    <t>WOS:000243665100005</t>
  </si>
  <si>
    <t>Kiene, RP; Kieber, DJ; Slezak, D; Toole, DA; del Valle, DA; Bisgrove, J; Brinkley, J; Rellinger, A</t>
  </si>
  <si>
    <t>Kiene, Ronald P.; Kieber, David J.; Slezak, Doris; Toole, Dierdre A.; del Valle, Daniela A.; Bisgrove, John; Brinkley, Jordan; Rellinger, Alison</t>
  </si>
  <si>
    <t>Distribution and cycling of dimethylsulfide, dimethylsulfoniopropionate, and dimethylsulfoxide during spring and early summer in the Southern Ocean south of New Zealand</t>
  </si>
  <si>
    <t>AQUATIC SCIENCES</t>
  </si>
  <si>
    <t>Article; Proceedings Paper</t>
  </si>
  <si>
    <t>4th International Symposium on Biological and Environmental Chemistry of DMS(P) and Related Compounds</t>
  </si>
  <si>
    <t>MAY 02-06, 2006</t>
  </si>
  <si>
    <t>Univ E Anglia, Norwich, ENGLAND</t>
  </si>
  <si>
    <t>Univ E Anglia</t>
  </si>
  <si>
    <t>DMS; DMSP; DMSO; Antarctic; global change; sulfur cycle; sea ice; Ross Sea</t>
  </si>
  <si>
    <t>SIMULATED CLIMATE-CHANGE; ANTARCTIC SEA-ICE; DISSOLVED DMSP; ALGAL PIGMENTS; GAS-EXCHANGE; ROSS SEA; SULFIDE; SULFUR; COASTAL; SEAWATER</t>
  </si>
  <si>
    <t>Concentrations of total dimethylsulfoniopropionate (DMSPt) and its degradation products, dissolved dimethylsulfide (DMS) and dimethylsulfoxide (DMSOd), were measured in surface waters along three transects between 49 to 76 degrees S latitude (November 2003 &amp; 2005 and December 2004) in the New Zealand sector of the Southern Ocean. Most water samples were collected from the ship's underway pump system, and concentrations of DMSPt, DMS and DMSOd obtained with this method showed excellent agreement with Niskin bottle-collected samples. Dissolved DMSP (DMSPd), on the other hand, was significantly higher in pump samples. Biological consumption rates for DMSPd and DMS were also measured in Niskin-collected surface waters at selected stations. Concentrations of DMSPt (12 to 52 nM) and DMS (0.6 to 3.2 nM) were moderate in open waters north of the seasonal sea ice (north of 63 degrees S), and very low (&lt; 12 nM DMSPt and &lt; 1 nM DMS) where sea ice coverage was &gt;80% (65-73 degrees S;November transects). High concentrations of DMSPt (up to 95 nM) and DMS (up to 30 nM), and high DMS:DMSPt ratios, were observed on the northern boundaries of the seasonal sea ice (63 to 68 degrees S) and in the northern Ross Sea (74-76 degrees S). Surface water DMSOd concentrations were variable (1-55 nM), but generally higher in ice melt zones and the northern Ross Sea, especially in summer (December 2004). Rates of biological DMS and DMSPd consumption were elevated in ice melt zones, but were generally quite low (&lt; 1 nM DMS d(-1) and &lt; 2.5 nM DMSPd d-1), except in the Ross Sea polynya where consumption rates reached 7 nM DMS d(-1) and 13 nM DMSPd d(-1). This data set provides much needed information regarding the distribution and cycling of DMSP, DMS and DMSO in a poorly studied area of the Southern Ocean. Our findings show that areas of ice melt and the northern Ross Sea are zones of elevated DMS concentrations and sea-air fluxes and also rapid cycling of DMSP and DMS.</t>
  </si>
  <si>
    <t>Univ S Alabama, Dept Marine Sci, Mobile, AL 36688 USA; SUNY Coll Environm Sci &amp; Forestry, Dept Chem, Syracuse, NY 13210 USA; Woods Hole Oceanog Inst, Dept Marine Chem &amp; Geochem, Woods Hole, MA 02543 USA</t>
  </si>
  <si>
    <t>University of South Alabama; State University of New York (SUNY) System; State University of New York (SUNY) College of Environmental Science &amp; Forestry; Woods Hole Oceanographic Institution</t>
  </si>
  <si>
    <t>rkiene@disl.org</t>
  </si>
  <si>
    <t>del Valle, Daniela/0009-0005-4137-9285</t>
  </si>
  <si>
    <t>SPRINGER BASEL AG</t>
  </si>
  <si>
    <t>BASEL</t>
  </si>
  <si>
    <t>PICASSOPLATZ 4, BASEL, 4052, SWITZERLAND</t>
  </si>
  <si>
    <t>1015-1621</t>
  </si>
  <si>
    <t>1420-9055</t>
  </si>
  <si>
    <t>AQUAT SCI</t>
  </si>
  <si>
    <t>Aquat. Sci.</t>
  </si>
  <si>
    <t>10.1007/s00027-007-0892-3</t>
  </si>
  <si>
    <t>Environmental Sciences; Limnology; Marine &amp; Freshwater Biology</t>
  </si>
  <si>
    <t>Science Citation Index Expanded (SCI-EXPANDED); Conference Proceedings Citation Index - Science (CPCI-S)</t>
  </si>
  <si>
    <t>Environmental Sciences &amp; Ecology; Marine &amp; Freshwater Biology</t>
  </si>
  <si>
    <t>217KN</t>
  </si>
  <si>
    <t>WOS:000249946900003</t>
  </si>
  <si>
    <t>Kieber, DJ; Toole, DA; Jankowski, JJ; Kiene, RP; Westby, GR; del Valle, DA; Slezak, D</t>
  </si>
  <si>
    <t>Kieber, David J.; Toole, Dierdre A.; Jankowski, Joseph J.; Kiene, Ronald P.; Westby, George R.; del Valle, Daniela A.; Slezak, Doris</t>
  </si>
  <si>
    <t>Chemical light meters for photochemical and photobiological studies</t>
  </si>
  <si>
    <t>actinometer; photochemistry; sulfur; downwelling attenuation; Antarctica; Sargasso</t>
  </si>
  <si>
    <t>SOLAR-RADIATION; DISSOLVED DMSP; SARGASSO SEA; DIMETHYLSULFIDE; DIMETHYLSULFONIOPROPIONATE; SEAWATER; ACTINOMETERS; WATERS; OCEAN; FATE</t>
  </si>
  <si>
    <t>Nitrate and nitrite solar actinometers or chemical light meters were used to quantify light doses in photochemical and photobiological experiments involving dimethylsulfide (DMS) and dimethylsulfoniopropionate (DMSP) cycling. Light doses were calculated based on the photochemical production of salicylic acid (SA) from benzoic acid in these actinometers, with SA quantified by either spectrofluorometry or high performance liquid chromatography. Nitrate and nitrite actinometers were modified for deployment at low temperatures in Antarctic waters by addition of sodium chloride as a freezing point depressant. The addition of salt did not affect the solar response of the actinometers; however, the solar response did change slightly with latitude. In the Antarctic, peak response wavelengths (and bandwidths) for the Mylar D-wrapped actinometers in quartz tubing were 326 nm (319 - 333 nm) and 353 nm (325 - 380 nm) for nitrate and nitrite, respectively, and these were 2-5 nm blue shifted compared to the peak response wavelengths and bandwidths observed in the Sargasso Sea. Excellent agreement was observed when comparing the integrated irradiance determined with the actinometers to that determined with a spectroradiometer. Likewise, diffuse attenuation coefficients for downwelling irradiance (K(d)(lambda)) calculated from water column actinometer measurements agreed well with K(d)(lambda) values calculated from irradiance measurements determined with a Biospherical PUV-511 profiling radiometer. Actinometers were used to measure light doses in experiments involving DMS and DMSP transformations during several field campaigns in the Ross Sea, Antarctica and the Sargasso Sea. Based on actinometer measurements, it was determined that DMS photolysis was dependent on UV irradiation between approximately 325 - 380 run, while biological consumption rates of DMS and DMSP were inhibited by radiation at wavelengths less than approximately 333 nm. When DMS photolysis rate constants were expressed in terms of light dose rather than time, it was possible to 1) directly determine photolysis rate constants in the water column and 2) directly compare photolysis rate constants across diverse oceanographic regions.</t>
  </si>
  <si>
    <t>SUNY Coll Environm Sci &amp; Forestry, Dept Chem, Syracuse, NY 13210 USA; Woods Hole Oceanog Inst, Dept Marine Chem &amp; Geochem, Woods Hole, MA 02543 USA; Univ S Alabama, Dept Marine Sci, Mobile, AL 36688 USA; Dauphin Isl Sea Lab, Dauphin Isl, AL 36528 USA</t>
  </si>
  <si>
    <t>State University of New York (SUNY) System; State University of New York (SUNY) College of Environmental Science &amp; Forestry; Woods Hole Oceanographic Institution; University of South Alabama; Dauphin Island Sea Lab</t>
  </si>
  <si>
    <t>Kieber, DJ (corresponding author), SUNY Coll Environm Sci &amp; Forestry, Dept Chem, Syracuse, NY 13210 USA.</t>
  </si>
  <si>
    <t>djkieber@esf.edu</t>
  </si>
  <si>
    <t>10.1007/s00027-007-0895-0</t>
  </si>
  <si>
    <t>WOS:000249946900008</t>
  </si>
  <si>
    <t>B</t>
  </si>
  <si>
    <t>Anisimov, OA; Vaughan, DG</t>
  </si>
  <si>
    <t>Parry, M; Canziani, O; Palutikof, J; vanderLinden, P; Hanson, C</t>
  </si>
  <si>
    <t>Anisimov, Oleg A.; Vaughan, David G.</t>
  </si>
  <si>
    <t>Polar regions (Arctic and Antarctic)</t>
  </si>
  <si>
    <t>AR4 CLIMATE CHANGE 2007: IMPACTS, ADAPTATION, AND VULNERABILITY: CONTRIBUTION OF WORKING GROUP II TO THE FOURTH ASSESSMENT REPORT OF THE INTERGOVERNMENTAL PANEL ON CLIMATE CHANGE</t>
  </si>
  <si>
    <t>Article; Book Chapter</t>
  </si>
  <si>
    <t>GREENLAND ICE-SHEET; COD GADUS-MORHUA; OCEAN SEA-ICE; CLIMATE-CHANGE; FRESH-WATER; SOUTHERN-OCEAN; MACKENZIE DELTA; GLOBAL CHANGE; NORTHWEST-TERRITORIES; CARBON-DIOXIDE</t>
  </si>
  <si>
    <t>CAMBRIDGE UNIV PRESS</t>
  </si>
  <si>
    <t>CAMBRIDGE</t>
  </si>
  <si>
    <t>THE PITT BUILDING, TRUMPINGTON ST, CAMBRIDGE CB2 1RP, CAMBS, ENGLAND</t>
  </si>
  <si>
    <t>Environmental Sciences; Environmental Studies</t>
  </si>
  <si>
    <t>Book Citation Index – Social Sciences &amp; Humanities (BKCI-SSH); Book Citation Index – Science (BKCI-S)</t>
  </si>
  <si>
    <t>Environmental Sciences &amp; Ecology</t>
  </si>
  <si>
    <t>BS3NW</t>
  </si>
  <si>
    <t>WOS:000713666900020</t>
  </si>
  <si>
    <t>Lemke, P; Ren, JW</t>
  </si>
  <si>
    <t>Solomon, S; Qin, D; Manning, M; Marquis, M; Averyt, K; Tignor, MMB; Miller, HL; Chen, Z</t>
  </si>
  <si>
    <t>Lemke, Peter; Ren, Jiawen</t>
  </si>
  <si>
    <t>Observations: Changes in Snow, Ice and Frozen Ground</t>
  </si>
  <si>
    <t>AR4 CLIMATE CHANGE 2007: THE PHYSICAL SCIENCE BASIS: CONTRIBUTION OF WORKING GROUP I TO THE FOURTH ASSESSMENT REPORT OF THE INTERGOVERNMENTAL PANEL ON CLIMATE CHANGE</t>
  </si>
  <si>
    <t>ANTARCTIC SEA-ICE; TROPICAL CORDILLERA-BLANCA; NORTH-ATLANTIC OSCILLATION; GLACIER MASS-BALANCE; CLIMATE-CHANGE; COVER VARIABILITY; ATMOSPHERIC CIRCULATION; INTERANNUAL VARIABILITY; ELEVATION CHANGES; TIBETAN PLATEAU</t>
  </si>
  <si>
    <t>Jiawen, Ren/K-7734-2012</t>
  </si>
  <si>
    <t>978-0-521-70596-7; 978-0-521-88009-1</t>
  </si>
  <si>
    <t>Environmental Sciences</t>
  </si>
  <si>
    <t>Book Citation Index – Science (BKCI-S)</t>
  </si>
  <si>
    <t>BP1AI</t>
  </si>
  <si>
    <t>WOS:000538686200008</t>
  </si>
  <si>
    <t>C</t>
  </si>
  <si>
    <t>Besson, DZ</t>
  </si>
  <si>
    <t>Thompson, L; Danaher, S</t>
  </si>
  <si>
    <t>Besson, Dave Z.</t>
  </si>
  <si>
    <t>Status of the RICE experiment</t>
  </si>
  <si>
    <t>ARENA 2006-ACOUSTIC AND RADIO EEV NEUTRINO DETECTION ACTIVITIES</t>
  </si>
  <si>
    <t>Journal of Physics Conference Series</t>
  </si>
  <si>
    <t>Proceedings Paper</t>
  </si>
  <si>
    <t>International Conference on Acoustic and Radio EeV Neutrino Activities</t>
  </si>
  <si>
    <t>JUN 28-30, 2007</t>
  </si>
  <si>
    <t>Univ Northumbria, Newcastle, ENGLAND</t>
  </si>
  <si>
    <t>Univ Northumbria</t>
  </si>
  <si>
    <t>LIMITS</t>
  </si>
  <si>
    <t>The RICE experiment (Radio Ice Cherenkov Experiment) at South Pole consists of an array of dipole antennas designed to detect the coherent radio frequency radiation produced by neutrino-induced showers in the Antarctic ice. We report updated limits on the ultra-high energy neutrino flux, based on RICE data taken between 2000 and 2005. These limits also reflect improvements in Monte Carlo simulations and detector modeling.</t>
  </si>
  <si>
    <t>Univ Kansas, Dept Phys &amp; Astron, Lawrence, KS 66045 USA</t>
  </si>
  <si>
    <t>University of Kansas</t>
  </si>
  <si>
    <t>Besson, DZ (corresponding author), Univ Kansas, Dept Phys &amp; Astron, Lawrence, KS 66045 USA.</t>
  </si>
  <si>
    <t>IOP PUBLISHING LTD</t>
  </si>
  <si>
    <t>BRISTOL</t>
  </si>
  <si>
    <t>DIRAC HOUSE, TEMPLE BACK, BRISTOL BS1 6BE, ENGLAND</t>
  </si>
  <si>
    <t>1742-6588</t>
  </si>
  <si>
    <t>1742-6596</t>
  </si>
  <si>
    <t>J PHYS CONF SER</t>
  </si>
  <si>
    <t>10.1088/1742-6596/81/1/012008</t>
  </si>
  <si>
    <t>Physics, Applied</t>
  </si>
  <si>
    <t>Conference Proceedings Citation Index - Science (CPCI-S)</t>
  </si>
  <si>
    <t>Physics</t>
  </si>
  <si>
    <t>BHA53</t>
  </si>
  <si>
    <t>gold</t>
  </si>
  <si>
    <t>WOS:000251917200008</t>
  </si>
  <si>
    <t>Böser, S; Bohm, C; Descamps, F; Fischer, J; Hallgren, A; Heller, R; Hundertmark, S; Krieger, K; Nahnhauer, R; Pohl, M; Price, PB; Sulanke, K; Vandenbroucke, J</t>
  </si>
  <si>
    <t>Boeser, S.; Bohm, C.; Descamps, F.; Fischer, J.; Hallgren, A.; Heller, R.; Hundertmark, S.; Krieger, K.; Nahnhauer, R.; Pohl, M.; Price, P. B.; Sulanke, K.; Vandenbroucke, J.</t>
  </si>
  <si>
    <t>The South Pole Acoustic Test Setup:: Calibrations and lake test</t>
  </si>
  <si>
    <t>In order to detect the small neutrino fluxes expected at ultra-high energies, large volumes of materials have to be instrumented with inexpensive but sensitive acoustic sensors. The South Pole Acoustic Test Setup (SPATS) will be installed in the Antarctic ice during the polar season 2006/2007 after which the collected data will be used to reveal the acoustic properties of the South Polar ice cap. The developed piezoceramic based ultrasound sensors and transmitters that are part of this system have been extensively studied during calibration measurements in water, using a commercial hydrophone as reference. Also, a SPATS system test was accomplished in Lake Tornetrisk, Abisko (Sweden). This allowed verification of the DAQ system, transmitter range and sensor performance. Here the results of the calibrations and the Abisko lake measurements are reported.</t>
  </si>
  <si>
    <t>[Boeser, S.; Descamps, F.; Fischer, J.; Heller, R.; Krieger, K.; Nahnhauer, R.; Pohl, M.; Sulanke, K.] DESY, Platanenallee 6, D-15738 Zeuthen, Germany; [Price, P. B.; Vandenbroucke, J.] Univ Calif Berkeley, Dept Phys, Berkeley, CA 94720 USA; [Bohm, C.; Hundertmark, S.] Univ Stockholm, SE-10691 Stockholm, Sweden; [Hallgren, A.] Uppsala Univ, Dept Radiat Sci, SE-75121 Uppsala, Sweden; [Descamps, F.] Univ Ghent, Ghent, Belgium</t>
  </si>
  <si>
    <t>Helmholtz Association; Deutsches Elektronen-Synchrotron (DESY); University of California System; University of California Berkeley; Stockholm University; Uppsala University; Ghent University</t>
  </si>
  <si>
    <t>Böser, S (corresponding author), DESY, Platanenallee 6, D-15738 Zeuthen, Germany.</t>
  </si>
  <si>
    <t>Freija.Descamps@ugent.be</t>
  </si>
  <si>
    <t>Hallgren, Allan/A-8963-2013; Hundertmark, Stephan/A-6592-2010</t>
  </si>
  <si>
    <t>10.1088/1742-6596/81/1/012016</t>
  </si>
  <si>
    <t>WOS:000251917200016</t>
  </si>
  <si>
    <t>Böser, S; Bohm, C; Descamps, F; Fischer, J; Hallgren, A; Heller, R; Hundertmark, S; Krieger, K; Nalmhauer, R; Pohl, M; Price, B; Sulanke, K; Vandenbroucke, J</t>
  </si>
  <si>
    <t>Boeser, S.; Bohm, C.; Descamps, F.; Fischer, J.; Hallgren, A.; Heller, R.; Hundertmark, S.; Krieger, K.; Nalmhauer, R.; Pohl, M.; Price, B.; Sulanke, K.; Vandenbroucke, J.</t>
  </si>
  <si>
    <t>Status of the SOUTH POLE ACOUSTIC TEST SETUP</t>
  </si>
  <si>
    <t>Due to the low flux of ultrahigh energetic neutrinos induced in interactions of cosmic rays with the cosmic microwave background, very large instrumented volumes and new registration techniques are necessary for their detection. The south polar ice offers the unique opportunity to implement existing Cherenkov techniques as well as registration of radio and acoustic waves from the neutrino interaction. A simulation of a similar to 120km(3) hybrid optical/radio/acoustic detector showed that event rates of similar to 10 per year can be achieved. In this simulation the ultrasonic parameters of antarctic ice regarding absorption, scattering and environmental noise pose the key uncertainty. To evaluate the acoustic properties in-situ, the SOUTH POLE ACOUSTIC TEST SETUP (SPATS) has been created. An array of custom-made ultrasonic sensors and transmitters will be deployed on three strings in the upper 400 m of the holes of the ICECUBE experiment. The status of the experiment and a first evaluation of its performance axe presented here.</t>
  </si>
  <si>
    <t>[Boeser, S.; Descamps, F.; Fischer, J.; Heller, R.; Krieger, K.; Nalmhauer, R.; Pohl, M.; Sulanke, K.] DESY, Platanenallee 6, D-15738 Zeuthen, Germany; [Price, B.; Vandenbroucke, J.] Univ Calif Berkeley, Berkeley, CA 94720 USA; [Bohm, C.; Hundertmark, S.] Stockholm Univ, Stockholm, Sweden; [Hallgren, A.] Uppsala Univ, Uppsala, Sweden</t>
  </si>
  <si>
    <t>Helmholtz Association; Deutsches Elektronen-Synchrotron (DESY); University of California System; University of California Berkeley; Stockholm University; Uppsala University</t>
  </si>
  <si>
    <t>Hundertmark, Stephan/A-6592-2010; Hallgren, Allan/A-8963-2013</t>
  </si>
  <si>
    <t>10.1088/1742-6596/81/1/012010</t>
  </si>
  <si>
    <t>WOS:000251917200010</t>
  </si>
  <si>
    <t>Hoffman, K</t>
  </si>
  <si>
    <t>Hoffman, Kara</t>
  </si>
  <si>
    <t>AURA Collaboration</t>
  </si>
  <si>
    <t>AURA: The Askaryan underice radio array</t>
  </si>
  <si>
    <t>The abundant cold ice covering the Antarctic provides a tantalizing medium for Askaryan signatures of ultra high energy (UHE) neutrinos due to it's excellent rf transparency. RICE, a first generation radio array buried between 100 and 300 m near the geographic South Pole, took advantage of this natural resource and made great advances toward the realization of a GZK scale neutrino detector, establishing techniques for radio detection, and studying the properties of South Pole ice. However, an array large enough to be sensitive to the low flux of neutrinos at UHE would have to overcome the technical challenges associated with designing and operating a sparse array in a hostile environment, including power distribution, time calibration, triggering and readout over a scale of kilometers in temperatures of -50 C. Two other astrophysical neutrino experiments, ANITA and IceCube, have developed technologies and infrastructure that could be applied to making a large scale, englacial array a reality on a short time scale. In the coming austral summer, the AURA collaboration will begin deploying prototype antenna clusters parasitically on IceCube strings, using technologies adapted from ANITA and IceCube, as well as RICE, in order to establish the feasibility of a 100 square kilometer scale array.</t>
  </si>
  <si>
    <t>[Hoffman, Kara; AURA Collaboration] Univ Maryland, College Pk, MD 20742 USA</t>
  </si>
  <si>
    <t>University System of Maryland; University of Maryland College Park</t>
  </si>
  <si>
    <t>Hoffman, K (corresponding author), Univ Maryland, College Pk, MD 20742 USA.</t>
  </si>
  <si>
    <t>kara@umd.edu</t>
  </si>
  <si>
    <t>10.1088/1742-6596/81/1/012022</t>
  </si>
  <si>
    <t>WOS:000251917200022</t>
  </si>
  <si>
    <t>Hoover, S</t>
  </si>
  <si>
    <t>Hoover, Stephen</t>
  </si>
  <si>
    <t>ANITA Collaboration</t>
  </si>
  <si>
    <t>Status of the ANITA experiment</t>
  </si>
  <si>
    <t>NEUTRINOS; CHARGE</t>
  </si>
  <si>
    <t>The ANtarctic Impulsive Transient Antenna (ANITA) is a NASA-sponsored long-duration balloon experiment designed to detect radio Cherenkov pulses from particle showers initiated by UHE neutrinos in the Antarctic ice. ANITA is scheduled to fly during this Austral summer (Dec 2006 - Jan 2007). We present an overview of the ANITA experiment and its goals. We will also give an update on the experiment's current status. Milestones in the past year include an engineering flight in August 2005 and a beamtest using an ice target at SLAC in June 2006.</t>
  </si>
  <si>
    <t>[Hoover, Stephen] Univ Calif Los Angeles, Dept Phys &amp; Astron, Mailstop 154705,475 Portola Pl, Los Angeles, CA 90095 USA</t>
  </si>
  <si>
    <t>University of California System; University of California Los Angeles</t>
  </si>
  <si>
    <t>Hoover, S (corresponding author), Univ Calif Los Angeles, Dept Phys &amp; Astron, Mailstop 154705,475 Portola Pl, Los Angeles, CA 90095 USA.</t>
  </si>
  <si>
    <t>hoover@physics.ucla.edu</t>
  </si>
  <si>
    <t>10.1088/1742-6596/81/1/012009</t>
  </si>
  <si>
    <t>WOS:000251917200009</t>
  </si>
  <si>
    <t>van Wyk, AWW; Froneman, PW; Bernard, KS; Davies-Coleman, MT</t>
  </si>
  <si>
    <t>van Wyk, Albert W. W.; Froneman, P. William; Bernard, Kim S.; Davies-Coleman, Michael T.</t>
  </si>
  <si>
    <t>New isocopalane diterpene diester from a sub-Antarctic marine nudibranch</t>
  </si>
  <si>
    <t>ARKIVOC</t>
  </si>
  <si>
    <t>nudibranch; isocopalane diterpene; diacylglyceride</t>
  </si>
  <si>
    <t>CHEMISTRY; MOLLUSKS; ECOLOGY; ACID; SKIN</t>
  </si>
  <si>
    <t>Two known isocopalane diterpene diacylglycerides 1 and 2 and one new isocopalane diterpene diacetate, (12S, 13R, 14S)-isocopalan-13-ol-12,14-diacetate, 3 were isolated from an unidentified sub-Antarctic nudibranch. The structure and stereochemistry of the new minor metabolite 3 was established from spectroscopic data and recourse to biosynthetic arguments.</t>
  </si>
  <si>
    <t>Rhodes Univ, Dept Chem, POB 94, ZA-6140 Grahamstown, South Africa; Rhodes Univ, Dept Zool &amp; Entomol, So Ocean Grp, ZA-6140 Grahamstown, South Africa</t>
  </si>
  <si>
    <t>Rhodes University; Rhodes University</t>
  </si>
  <si>
    <t>Davies-Coleman, MT (corresponding author), Rhodes Univ, Dept Chem, POB 94, ZA-6140 Grahamstown, South Africa.</t>
  </si>
  <si>
    <t>m.davies-coleman@ru.ac.za</t>
  </si>
  <si>
    <t>Bernard, Kim S/J-2703-2013; Froneman, William/C-9085-2012; Froneman, William/GLS-0460-2022</t>
  </si>
  <si>
    <t>Froneman, William/0000-0003-0615-1355; Davies-Coleman, Michael/0000-0001-5344-894X</t>
  </si>
  <si>
    <t>ARKAT USA INC</t>
  </si>
  <si>
    <t>GAINESVILLE</t>
  </si>
  <si>
    <t>C/O ALAN R KATRITZKY, UNIV FLORIDA, DEPT CHEMISTRY, PO BOX 117200, GAINESVILLE, FL 32611 USA</t>
  </si>
  <si>
    <t>1551-7004</t>
  </si>
  <si>
    <t>1551-7012</t>
  </si>
  <si>
    <t>Arkivoc</t>
  </si>
  <si>
    <t>10.3998/ark.5550190.0008.914</t>
  </si>
  <si>
    <t>Chemistry, Organic</t>
  </si>
  <si>
    <t>Chemistry</t>
  </si>
  <si>
    <t>204RH</t>
  </si>
  <si>
    <t>Green Submitted, gold</t>
  </si>
  <si>
    <t>WOS:000249061200014</t>
  </si>
  <si>
    <t>Daerden, F; Larsen, N; Chabrillat, S; Errera, Q; Bonjean, S; Fonteyn, D; Hoppel, K; Fromm, M</t>
  </si>
  <si>
    <t>Daerden, F.; Larsen, N.; Chabrillat, S.; Errera, Q.; Bonjean, S.; Fonteyn, D.; Hoppel, K.; Fromm, M.</t>
  </si>
  <si>
    <t>A 3D-CTM with detailed online PSC-microphysics: analysis of the Antarctic winter 2003 by comparison with satellite observations</t>
  </si>
  <si>
    <t>ATMOSPHERIC CHEMISTRY AND PHYSICS</t>
  </si>
  <si>
    <t>STRATOSPHERIC CLOUD OBSERVATIONS; ACID TRIHYDRATE NAT; ARCTIC DENITRIFICATION; OZONE DEPLETION; POLAR OZONE; AEROSOL; MODEL; MIPAS; NUCLEATION; PARTICLES</t>
  </si>
  <si>
    <t>We present the first detailed microphysical simulations which are performed online within the framework of a global 3-D chemical transport model (CTM) with full chemistry. The model describes the formation and evolution of four types of polar stratospheric cloud (PSC) particles. Aerosol freezing and other relevant microphysical processes are treated in a full explicit way. Each particle type is described by a binned size distribution for the number density and chemical composition. This set-up allows for an accurate treatment of sedimentation and for detailed calculation of surface area densities and optical properties. Simulations are presented for the Antarctic winter of 2003 and comparisons are made to a diverse set of satellite observations ( optical and chemical measurements of POAM III and MIPAS) to illustrate the capabilities of the model. This study shows that a combined resolution approach where microphysical processes are simulated in coarse-grained conditions gives good results for PSC formation and its large-scale effect on the chemical environment through processes such as denitrification, dehydration and ozone loss.</t>
  </si>
  <si>
    <t>Belgian Inst Space Aeron BIRA IASB, Brussels, Belgium; Danish Meteorol Inst, Copenhagen, Denmark; Belgian Fed Sci Policy, Brussels, Belgium; USN, Res Lab, Washington, DC 20375 USA</t>
  </si>
  <si>
    <t>Danish Meteorological Institute DMI; United States Department of Defense; United States Navy; Naval Research Laboratory</t>
  </si>
  <si>
    <t>Daerden, F (corresponding author), Belgian Inst Space Aeron BIRA IASB, Brussels, Belgium.</t>
  </si>
  <si>
    <t>frank.daerden@aeronomie.be</t>
  </si>
  <si>
    <t>Larsen, Niels/G-3145-2014; Chabrillat, Simon/AAM-7850-2020; Fromm, Michael/F-4639-2010; Daerden, Frank/S-8759-2017</t>
  </si>
  <si>
    <t>Larsen, Niels/0000-0002-1582-661X; Chabrillat, Simon/0000-0003-4378-1567; Errera, Quentin/0000-0002-4818-4879; Daerden, Frank/0000-0001-7433-1839</t>
  </si>
  <si>
    <t>COPERNICUS GESELLSCHAFT MBH</t>
  </si>
  <si>
    <t>GOTTINGEN</t>
  </si>
  <si>
    <t>BAHNHOFSALLEE 1E, GOTTINGEN, 37081, GERMANY</t>
  </si>
  <si>
    <t>1680-7316</t>
  </si>
  <si>
    <t>1680-7324</t>
  </si>
  <si>
    <t>ATMOS CHEM PHYS</t>
  </si>
  <si>
    <t>Atmos. Chem. Phys.</t>
  </si>
  <si>
    <t>10.5194/acp-7-1755-2007</t>
  </si>
  <si>
    <t>Environmental Sciences; Meteorology &amp; Atmospheric Sciences</t>
  </si>
  <si>
    <t>Environmental Sciences &amp; Ecology; Meteorology &amp; Atmospheric Sciences</t>
  </si>
  <si>
    <t>157UV</t>
  </si>
  <si>
    <t>WOS:000245747800005</t>
  </si>
  <si>
    <t>Savarino, J; Kaiser, J; Morin, S; Sigman, DM; Thiemens, MH</t>
  </si>
  <si>
    <t>Savarino, J.; Kaiser, J.; Morin, S.; Sigman, D. M.; Thiemens, M. H.</t>
  </si>
  <si>
    <t>Nitrogen and oxygen isotopic constraints on the origin of atmospheric nitrate in coastal Antarctica</t>
  </si>
  <si>
    <t>Review</t>
  </si>
  <si>
    <t>MASS-INDEPENDENT FRACTIONATION; SEGREGATED AEROSOL COMPOSITION; SOUTH-POLE; N-15/N-14 RATIOS; OZONE DEPLETION; DUMONT DURVILLE; N-15 ABUNDANCE; ICE-CORE; TEMPERATURE-DEPENDENCE; ANTHROPOGENIC SULFATE</t>
  </si>
  <si>
    <t>Throughout the year 2001, aerosol samples were collected continuously for 10 to 15 days at the French Antarctic Station Dumont d'Urville ( DDU) (66 degrees 40' S, 140 degrees 01' E, 40m above mean sea level). The nitrogen and oxygen isotopic ratios of particulate nitrate at DDU exhibit seasonal variations that are among the most extreme observed for nitrate on Earth. In association with concentration measurements, the isotope ratios delineate four distinct periods, broadly consistent with previous studies on Antarctic coastal areas. During austral autumn and early winter ( March to mid-July), nitrate concentrations attain a minimum between 10 and 30 ng m(-3) ( referred to as Period 2). Two local maxima in August (55 ng m(-3)) and November/December (165 ng m(-3)) are used to assign Period 3 (mid-July to September) and Period 4 ( October to December). Period 1 ( January to March) is a transition period between the maximum concentration of Period 4 and the background concentration of Period 2. These seasonal changes are reflected in changes of the nitrogen and oxygen isotope ratios. During Period 2, which is characterized by background concentrations, the isotope ratios are in the range of previous measurements at midlatitudes: delta O-18(vsmow)=(77.2 +/- 8.6)parts per thousand; Delta O-17=(29.8 +/- 4.4)parts per thousand; delta N-15(air)=(- 4.4 +/- 5.4)parts per thousand ( mean +/- one standard deviation). Period 3 is accompanied by a significant increase of the oxygen isotope ratios and a small increase of the nitrogen isotope ratio to delta O-18(vsmow)=( 98.8 +/- 13.9)parts per thousand; Delta O-17=(38.8 +/- 4.7)parts per thousand and delta N-15(air)=(4.3 +/- 8.20 parts per thousand). Period 4 is characterized by a minimum N-15/N-14 ratio, only matched by one prior study of Antarctic aerosols, and oxygen isotope ratios similar to Period 2: delta O-18(vsmow)=(77.2 +/- 7.7)parts per thousand; Delta O-17=(31.1 +/- 3.2)parts per thousand; delta N-15(air)=(- 32.7 +/- 8.4)parts per thousand. Finally, during Period 1, isotope ratios reach minimum values for oxygen and intermediate values for nitrogen: delta O-18(vsmow)= 63.2 +/- 2.5 parts per thousand; Delta O-17= 24.0 +/- 1.1 parts per thousand; delta N-15(air)=- 17.9 +/- 4.0 parts per thousand). Based on the measured isotopic composition, known atmospheric transport patterns and the current understanding of kinetics and isotope effects of relevant atmospheric chemical processes, we suggest that elevated tropospheric nitrate levels during Period 3 are most likely the result of nitrate sedimentation from polar stratospheric clouds (PSCs), whereas elevated nitrate levels during Period 4 are likely to result from snow re-emission of nitrogen oxide species. We are unable to attribute the source of the nitrate during periods 1 and 2 to local production or long-range transport, but note that the oxygen isotopic composition is in agreement with day and night time nitrate chemistry driven by the diurnal solar cycle. A precise quantification is difficult, due to our insufficient knowledge of isotope fractionation during the reactions leading to nitrate formation, among other reasons.</t>
  </si>
  <si>
    <t>Univ Grenoble 1, Lab Glaciol &amp; Geophys Environm, CNRS, F-38402 St Martin Dheres, France; Princeton Univ, Dept Geosci, Princeton, NJ 08544 USA; Univ Calif San Diego, Dept Chem &amp; Biochem, La Jolla, CA 92093 USA</t>
  </si>
  <si>
    <t>Centre National de la Recherche Scientifique (CNRS); Communaute Universite Grenoble Alpes; Universite Grenoble Alpes (UGA); Princeton University; University of California System; University of California San Diego</t>
  </si>
  <si>
    <t>Savarino, J (corresponding author), Univ Grenoble 1, Lab Glaciol &amp; Geophys Environm, CNRS, 54 Rue Moliere BP96, F-38402 St Martin Dheres, France.</t>
  </si>
  <si>
    <t>savarino@lgge.obs.ujf-grenoble.fr</t>
  </si>
  <si>
    <t>Sigman, Daniel M./A-2649-2008; Morin, Samuel/E-8005-2011; Sigman, Daniel M./IYJ-2613-2023; Kaiser, Jan/D-3327-2009; Savarino, Joel/H-9730-2012</t>
  </si>
  <si>
    <t>Sigman, Daniel M./0000-0002-7923-1973; Morin, Samuel/0000-0002-1781-687X; Kaiser, Jan/0000-0002-1553-4043; Savarino, Joel/0000-0002-6708-9623</t>
  </si>
  <si>
    <t>10.5194/acp-7-1925-2007</t>
  </si>
  <si>
    <t>167MJ</t>
  </si>
  <si>
    <t>Green Accepted, Green Submitted, gold</t>
  </si>
  <si>
    <t>WOS:000246455500003</t>
  </si>
  <si>
    <t>Hansen, J; Sato, M; Ruedy, R; Kharecha, P; Lacis, A; Miller, R; Nazarenko, L; Lo, K; Schmidt, GA; Russell, G; Aleinov, I; Bauer, S; Baum, E; Cairns, B; Canuto, V; Chandler, M; Cheng, Y; Cohen, A; Del Genio, A; Faluvegi, G; Fleming, E; Friend, A; Hall, T; Jackman, C; Jonas, J; Kelley, M; Kiang, NY; Koch, D; Labow, G; Lerner, J; Menon, S; Novakov, T; Oinas, V; Perlwitz, J; Perlwitz, J; Rind, D; Romanou, A; Schmunk, R; Shindell, D; Stone, P; Sun, S; Streets, D; Tausnev, N; Thresher, D; Unger, N; Yao, M; Zhang, S</t>
  </si>
  <si>
    <t>Hansen, J.; Sato, M.; Ruedy, R.; Kharecha, P.; Lacis, A.; Miller, R.; Nazarenko, L.; Lo, K.; Schmidt, G. A.; Russell, G.; Aleinov, I.; Bauer, S.; Baum, E.; Cairns, B.; Canuto, V.; Chandler, M.; Cheng, Y.; Cohen, A.; Del Genio, A.; Faluvegi, G.; Fleming, E.; Friend, A.; Hall, T.; Jackman, C.; Jonas, J.; Kelley, M.; Kiang, N. Y.; Koch, D.; Labow, G.; Lerner, J.; Menon, S.; Novakov, T.; Oinas, V.; Perlwitz, Ja.; Perlwitz, Ju.; Rind, D.; Romanou, A.; Schmunk, R.; Shindell, D.; Stone, P.; Sun, S.; Streets, D.; Tausnev, N.; Thresher, D.; Unger, N.; Yao, M.; Zhang, S.</t>
  </si>
  <si>
    <t>Dangerous human-made interference with climate: a GISS modelE study</t>
  </si>
  <si>
    <t>SEA-SURFACE TEMPERATURE; CARBON-CYCLE FEEDBACKS; ANTARCTIC ICE-SHEET; TROPICAL CYCLONES; SOUTHERN-OCEAN; LEVEL; ATLANTIC; PLIOCENE; SENSITIVITY; STABILIZATION</t>
  </si>
  <si>
    <t>We investigate the issue of dangerous human-made interference with climate using simulations with GISS modelE driven by measured or estimated forcings for 1880 2003 and extended to 2100 for IPCC greenhouse gas scenarios as well as the alternative scenario of Hansen and Sato ( 2004). Identification of dangerous effects is partly subjective, but we find evidence that added global warming of more than 1 degrees C above the level in 2000 has effects that may be highly disruptive. The alternative scenario, with peak added forcing similar to 1.5 W/m(2) in 2100, keeps further global warming under 1 degrees C if climate sensitivity is similar to 3 degrees C or less for doubled CO2. The alternative scenario keeps mean regional seasonal warming within 2 sigma ( standard deviations) of 20th century variability, but other scenarios yield regional changes of 5 - 10 sigma, i.e. mean conditions outside the range of local experience. We conclude that a CO2 level exceeding about 450 ppm is dangerous, but reduction of non-CO2 forcings can provide modest relief on the CO2 constraint. We discuss three specific sub-global topics: Arctic climate change, tropical storm intensification, and ice sheet stability. We suggest that Arctic climate change has been driven as much by pollutants (O-3, its precursor CH4, and soot) as by CO2, offering hope that dual efforts to reduce pollutants and slow CO2 growth could minimize Arctic change. Simulated recent ocean warming in the region of Atlantic hurricane formation is comparable to observations, suggesting that greenhouse gases (GHGs) may have contributed to a trend toward greater hurricane intensities. Increasing GHGs cause significant warming in our model in submarine regions of ice shelves and shallow methane hydrates, raising concern about the potential for accelerating sea level rise and future positive feedback from methane release. Growth of non-CO2 forcings has slowed in recent years, but CO2 emissions are now surging well above the alternative scenario. Prompt actions to slow CO2 emissions and decrease non-CO2 forcings are required to achieve the low forcing of the alternative scenario.</t>
  </si>
  <si>
    <t>NASA, Goddard Inst Space Studies, New York, NY 10025 USA; Columbia Univ, Earth Inst, New York, NY USA; Sigma Space Partners LLC, New York, NY USA; Columbia Univ, Dept Earth &amp; Environm Sci, New York, NY USA; Columbia Univ, Dept Appl Phys &amp; Appl Math, New York, NY USA; Clean Air Task Force, Boston, MA USA; NASA, Goddard Space Flight Ctr, New York, NY 10025 USA; Orme Merisiers, Lab Sci Climat &amp; Environm, Gif Sur Yvette, France; Yale Univ, Dept Geol, New Haven, CT USA; Univ Calif Berkeley, Lawrence Berkeley Lab, Berkeley, CA 94720 USA; MIT, Cambridge, MA 02139 USA; Argonne Natl Lab, Argonne, IL 60439 USA</t>
  </si>
  <si>
    <t>National Aeronautics &amp; Space Administration (NASA); NASA Goddard Space Flight Center; Goddard Institute for Space Studies; Columbia University; Columbia University; Columbia University; National Aeronautics &amp; Space Administration (NASA); NASA Goddard Space Flight Center; CEA; Centre National de la Recherche Scientifique (CNRS); Universite Paris Saclay; Yale University; University of California System; University of California Berkeley; United States Department of Energy (DOE); Lawrence Berkeley National Laboratory; Massachusetts Institute of Technology (MIT); United States Department of Energy (DOE); Argonne National Laboratory</t>
  </si>
  <si>
    <t>Hansen, J (corresponding author), NASA, Goddard Inst Space Studies, New York, NY 10025 USA.</t>
  </si>
  <si>
    <t>jhansen@giss.nasa.gov</t>
  </si>
  <si>
    <t>Del Genio, Anthony D/D-4663-2012; Lacis, Andrew A/D-4658-2012; Perlwitz, Judith/B-7201-2008; Shindell, Drew/D-4636-2012; Schmidt, Gavin/D-4427-2012; Unger, Nadine/M-9360-2015; Jackman, Charles H/D-4699-2012; Sun, Shan/H-2318-2015; Lacis, Andrew/GVT-2947-2022; Unger, Nadine/AAI-4462-2021; Bauer, Susanne/P-3082-2014; Miller, Ron/E-1902-2012</t>
  </si>
  <si>
    <t>Perlwitz, Judith/0000-0003-4061-2442; Shindell, Drew/0000-0003-1552-4715; Schmidt, Gavin/0000-0002-2258-0486; Unger, Nadine/0000-0001-7739-2290; Faluvegi, Gregory/0000-0001-9011-3663; Schmunk, Robert/0000-0002-1897-6509; Kiang, Nancy Y./0000-0002-5730-924X; Aleinov, Igor/0000-0002-7827-228X; Streets, David/0000-0002-0223-1350; Ruedy, Reto/0000-0002-1270-1088; Russell, Gary/0000-0001-7174-5825; Miller, Ron/0000-0003-2122-0443; Cairns, Brian/0000-0002-1980-1022; Friend, Andrew/0000-0002-9029-1045; Hall, Timothy/0000-0003-1755-4889</t>
  </si>
  <si>
    <t>10.5194/acp-7-2287-2007</t>
  </si>
  <si>
    <t>167MP</t>
  </si>
  <si>
    <t>Green Submitted, Green Accepted, gold</t>
  </si>
  <si>
    <t>WOS:000246456100011</t>
  </si>
  <si>
    <t>von Hobe, M; Salawitch, RJ; Canty, T; Keller-Rudek, H; Moortgat, GK; Grooss, JU; Müller, R; Stroh, F</t>
  </si>
  <si>
    <t>von Hobe, M.; Salawitch, R. J.; Canty, T.; Keller-Rudek, H.; Moortgat, G. K.; Grooss, J.-U.; Mueller, R.; Stroh, F.</t>
  </si>
  <si>
    <t>Understanding the kinetics of the ClO dimer cycle</t>
  </si>
  <si>
    <t>THERMAL UNIMOLECULAR REACTIONS; ABSORPTION CROSS-SECTIONS; LOWER POLAR STRATOSPHERE; CHLORINE PEROXIDE; SELF-REACTION; OZONE LOSS; ANTARCTIC OZONE; MICHELSON INTERFEROMETER; CLO/CL2O2 EQUILIBRIUM; 3-DIMENSIONAL MODEL</t>
  </si>
  <si>
    <t>Among the major factors controlling ozone loss in the polar vortices in winter/spring is the kinetics of the ClO dimer catalytic cycle. Here, we propose a strategy to test and improve our understanding of these kinetics by comparing and combining information on the thermal equilibrium between ClO and Cl2O2, the rate of Cl2O2 formation, and the Cl2O2 photolysis rate from laboratory experiments, theoretical studies and field observations. Concordant with a number of earlier studies, we find considerable inconsistencies of some recent laboratory results with rate theory calculations and stratospheric observations of ClO and Cl2O2. The set of parameters for which we find the best overall consistency - namely the ClO/Cl2O2 equilibrium constant suggested by Plenge et al. ( 2005), the Cl2O2 recombination rate constant reported by Nickolaisen et al. ( 1994) and Cl2O2 photolysis rates based on absorption cross sections in the range between the JPL 2006 assessment and the laboratory study by Burkholder et al. ( 1990) - is not congruent with the latest recommendations given by the JPL and IUPAC panels and does not represent the laboratory studies currently regarded as the most reliable experimental values. We show that the incorporation of new Pope et al. ( 2007) Cl2O2 absorption cross sections into several models, combined with best estimates for other key parameters ( based on either JPL and IUPAC evaluations or on our study), results in severe model underestimates of observed ClO and observed ozone loss rates. This finding suggests either the existence of an unknown process that drives the partitioning of ClO and Cl2O2, or else some unidentified problem with either the laboratory study or numerous measurements of atmospheric ClO. Our mechanistic understanding of the ClO/Cl2O2 system is grossly lacking, with severe implications for our ability to simulate both present and future polar ozone depletion.</t>
  </si>
  <si>
    <t>Forschungszentrum Julich GmbH, Inst Chem &amp; Dynam Geosphere ICG1, Julich, Germany; CALTECH, Jet Prop Lab, Pasadena, CA USA; Max Planck Inst Chem, Div Atmospher Chem, D-55128 Mainz, Germany</t>
  </si>
  <si>
    <t>Helmholtz Association; Research Center Julich; California Institute of Technology; National Aeronautics &amp; Space Administration (NASA); NASA Jet Propulsion Laboratory (JPL); Max Planck Society</t>
  </si>
  <si>
    <t>von Hobe, M (corresponding author), Forschungszentrum Julich GmbH, Inst Chem &amp; Dynam Geosphere ICG1, Julich, Germany.</t>
  </si>
  <si>
    <t>m.von.hobe@fz-juelich.de</t>
  </si>
  <si>
    <t>Salawitch, Ross/B-4605-2009; Grooß, Jens-Uwe/N-3305-2019; Müller, Rolf/ABA-8213-2021; Canty, Tim/F-2631-2010; von Hobe, Marc/N-3265-2019; Grooß, Jens-Uwe/A-7315-2013; von Hobe, Marc/A-7969-2013; Stroh, Fred/A-6505-2009</t>
  </si>
  <si>
    <t>Grooß, Jens-Uwe/0000-0002-9485-866X; Müller, Rolf/0000-0002-5024-9977; Canty, Tim/0000-0003-0618-056X; von Hobe, Marc/0000-0001-6034-6562; Grooß, Jens-Uwe/0000-0002-9485-866X; Stroh, Fred/0000-0002-4492-2977</t>
  </si>
  <si>
    <t>10.5194/acp-7-3055-2007</t>
  </si>
  <si>
    <t>183KU</t>
  </si>
  <si>
    <t>Green Submitted, Green Published, gold</t>
  </si>
  <si>
    <t>WOS:000247572500001</t>
  </si>
  <si>
    <t>Wagner, T; Ibrahim, O; Sinreich, R; Friess, U; von Glasow, R; Platt, U</t>
  </si>
  <si>
    <t>Wagner, T.; Ibrahim, O.; Sinreich, R.; Friess, U.; von Glasow, R.; Platt, U.</t>
  </si>
  <si>
    <t>Enhanced tropospheric BrO over Antarctic sea ice in mid winter observed by MAX-DOAS on board the research vessel Polarstern</t>
  </si>
  <si>
    <t>OPTICAL-ABSORPTION SPECTROSCOPY; BOUNDARY-LAYER; OZONE DEPLETION; RADIATIVE-TRANSFER; HALOGEN CHEMISTRY; NY-ALESUND; GOME; SALT; DESTRUCTION; LATITUDE</t>
  </si>
  <si>
    <t>We present Multi AXis-Differential Optical Absorption Spectroscopy (MAX-DOAS) observations of tropospheric BrO carried out on board the German research vessel Polarstern during the Antarctic winter 2006. Polarstern entered the area of first year sea ice around Antarctica on 24 June 2006 and stayed within this area until 15 August 2006. For the period when the ship cruised inside the first year sea ice belt, enhanced BrO concentrations were almost continuously observed. Outside the first year sea ice belt, typically low BrO concentrations were found. Based on back trajectory calculations we find a positive correlation between the observed BrO differential slant column densities (Delta SCDs) and the duration for which the air masses had been in contact with the sea ice surface prior to the measurement. While we can not completely rule out that in several cases the highest BrO concentrations might be located close to the ground, our observations indicate that the maximum BrO concentrations might typically exist in a ( possibly extended) layer around the upper edge of the boundary layer. Besides the effect of a decreasing pH of sea salt aerosol with altitude and therefore an increase of BrO with height, this finding might be also related to vertical mixing of air from the free troposphere with the boundary layer, probably caused by convection over the warm ocean surface at polynyas and cracks in the ice. Strong vertical gradients of BrO and O-3 could also explain why we found enhanced BrO levels almost continuously for the observations within the sea ice. Based on our estimated BrO profiles we derive BrO mixing ratios of several ten ppt, which is slightly higher than many existing observations. Our observations indicate that enhanced BrO concentrations around Antarctica exist about one month earlier than observed by satellite instruments. From detailed radiative transfer simulations we find that MAX-DOAS observations are up to about one order of magnitude more sensitive to near-surface BrO than satellite observations. In contrast to satellite observations the MAX-DOAS sensitivity hardly decreases for large solar zenith angles and is almost independent from the ground albedo. Thus this technique is very well suited for observations in polar regions close to the solar terminator. For large periods of our measurements the solar elevation was very low or even below the horizon. For such conditions, most reactive Br-compounds might exist as Br-2 molecules and ozone destruction and the removal of reactive bromine compounds might be substantially reduced.</t>
  </si>
  <si>
    <t>Max Planck Inst Chem, Mainz, Germany; Heidelberg Univ, Inst Umweltphys, D-6900 Heidelberg, Germany; Univ E Anglia, Sch Environm Sci, Norwich NR4 7TJ, Norfolk, England</t>
  </si>
  <si>
    <t>Max Planck Society; Ruprecht Karls University Heidelberg; University of East Anglia</t>
  </si>
  <si>
    <t>Wagner, T (corresponding author), Max Planck Inst Chem, Mainz, Germany.</t>
  </si>
  <si>
    <t>thomas.wagner@mpch-mainz.mpg.de</t>
  </si>
  <si>
    <t>von Glasow, Roland/E-2125-2011; Platt, Ulrich/HZM-2289-2023; Frieß, Udo/B-1696-2012</t>
  </si>
  <si>
    <t>von Glasow, Roland/0000-0002-3944-2784; Friess, Udo/0000-0001-7176-7936</t>
  </si>
  <si>
    <t>10.5194/acp-7-3129-2007</t>
  </si>
  <si>
    <t>WOS:000247572500006</t>
  </si>
  <si>
    <t>Wetzel, G; Bracher, A; Funke, B; Goutail, F; Hendrick, F; Lambert, JC; Mikuteit, S; Piccolo, C; Pirre, M; Bazureau, A; Belotti, C; Blumenstock, T; De Mazière, M; Fischer, H; Huret, N; Ionov, D; López-Puertas, M; Maucher, G; Oelhaf, H; Pommereau, JP; Ruhnke, R; Sinnhuber, M; Stiller, G; Van Roozendael, M; Zhang, G</t>
  </si>
  <si>
    <t>Wetzel, G.; Bracher, A.; Funke, B.; Goutail, F.; Hendrick, F.; Lambert, J.-C.; Mikuteit, S.; Piccolo, C.; Pirre, M.; Bazureau, A.; Belotti, C.; Blumenstock, T.; De Maziere, M.; Fischer, H.; Huret, N.; Ionov, D.; Lopez-Puertas, M.; Maucher, G.; Oelhaf, H.; Pommereau, J. -P.; Ruhnke, R.; Sinnhuber, M.; Stiller, G.; Van Roozendael, M.; Zhang, G.</t>
  </si>
  <si>
    <t>Validation of MIPAS-ENVISAT NO2 operational data</t>
  </si>
  <si>
    <t>NITROGEN-DIOXIDE MEASUREMENTS; VERTICAL PROFILE RETRIEVAL; GROUND-BASED MEASUREMENTS; SOLAR-OCCULTATION; STRATOSPHERIC NO2; FTIR MEASUREMENTS; HIGH-RESOLUTION; ARCTIC VORTEX; NITRIC-OXIDE; O-3</t>
  </si>
  <si>
    <t>The Michelson Interferometer for Passive Atmospheric Sounding ( MIPAS) instrument was launched aboard the environmental satellite ENVISAT into its sun-synchronous orbit on 1 March 2002. The short-lived species NO2 is one of the key target products of MIPAS that are operationally retrieved from limb emission spectra measured in the stratosphere and mesosphere. Within the MIPAS validation activities, a large number of independent observations from balloons, satellites and ground-based stations have been compared to European Space Agency (ESA) version 4.61 operational NO2 data comprising the time period from July 2002 until March 2004 where MIPAS measured with full spectral resolution. Comparisons between MIPAS and balloon-borne observations carried out in 2002 and 2003 in the Arctic, at mid-latitudes, and in the tropics show a very good agreement below 40 km altitude with a mean deviation of roughly 3%, virtually without any significant bias. The comparison to ACE satellite observations exhibits only a small negative bias of MIPAS which appears not to be significant. The independent satellite instruments HALOE, SAGE II, and POAM III confirm in common for the spring-summer time period a negative bias of MIPAS in the Arctic and a positive bias in the Antarctic middle and upper stratosphere exceeding frequently the combined systematic error limits. In contrast to the ESA operational processor, the IMK/IAA retrieval code allows accurate inference of NO2 volume mixing ratios under consideration of all important non-LTE processes. Large differences between both retrieval results appear especially at higher altitudes, above about 50 to 55 km. These differences might be explained at least partly by non-LTE under polar winter conditions but not at mid-latitudes. Below this altitude region mean differences between both processors remain within 5% ( during night) and up to 10% ( during day) under undisturbed ( September 2002) conditions and up to 40% under perturbed polar night conditions ( February and March 2004). The intercomparison of ground-based NDACC observations shows no significant bias between the FTIR measurements in Kiruna ( 68 degrees N) and MIPAS in summer 2003 but larger deviations in autumn and winter. The mean deviation over the whole comparison period remains within 10%. A mean negative bias of 15% for MIPAS daytime and 8% for nighttime observations has been determined for UV-vis comparisons over Harestua ( 60 degrees N). Results of a pole-to-pole comparison of ground-based DOAS/UV-visible sunrise and MIPAS mid-morning column data has shown that the mean agreement in 2003 falls within the accuracy limit of the comparison method. Altogether, it can be indicated that MIPAS NO2 profiles yield valuable information on the vertical distribution of NO2 in the lower and middle stratosphere (below about 45 km) during day and night with an overall accuracy of about 10 - 20% and a precision of typically 5 - 15% such that the data are useful for scientific studies. In cases where extremely high NO2 occurs in the mesosphere ( polar winter) retrieval results in the lower and middle stratosphere are less accurate than under undisturbed atmospheric conditions.</t>
  </si>
  <si>
    <t>Forschungszentrum Karlsruhe, IMK, D-76021 Karlsruhe, Germany; Univ Bremen, Inst Environm Phys &amp; Remote Sensing IUP IFE, Bremen, Germany; CSIC, Inst Astrofis Andalucia, Granada, Spain; CNRS, Serv Aeron, F-91371 Verrieres Le Buisson, France; Belgian Inst Space Aeron IASB BIRA, Brussels, Belgium; Univ Oxford, Oxford, England; CNRS, LPCE, F-45071 Orleans, France; CNR, IFAC, Florence, Italy</t>
  </si>
  <si>
    <t>Helmholtz Association; Karlsruhe Institute of Technology; University of Bremen; Consejo Superior de Investigaciones Cientificas (CSIC); CSIC - Instituto de Astrofisica de Andalucia (IAA); Centre National de la Recherche Scientifique (CNRS); University of Oxford; Centre National de la Recherche Scientifique (CNRS); Consiglio Nazionale delle Ricerche (CNR); Istituto di Fisica Applicata Nello Carrara (IFAC-CNR)</t>
  </si>
  <si>
    <t>Wetzel, G (corresponding author), Forschungszentrum Karlsruhe, IMK, D-76021 Karlsruhe, Germany.</t>
  </si>
  <si>
    <t>gerald.wetzel@imk.fzk.de</t>
  </si>
  <si>
    <t>BELOTTI, CLAUDIO/AAW-8020-2020; Barthlott, Sabine/B-1439-2013; Bracher, Astrid/I-2672-2013; Ionov, Dmitry/J-4461-2013; Bracher, Astrid/B-7805-2013; Stiller, Gabriele P./A-7340-2013; Oelhaf, Hermann A/A-7895-2013; Ionov, Dmitry/AAF-7067-2021; Wetzel, Gerald/A-7065-2013; Lambert, Jean-Christopher/IUN-1096-2023; Ruhnke, Roland/J-8800-2012; Blumenstock, Thomas/K-2263-2012; Sinnhuber, Miriam/A-7252-2013; Lopez-Puertas, Manuel/M-8219-2013; Funke, Bernd/C-2162-2008</t>
  </si>
  <si>
    <t>BELOTTI, CLAUDIO/0000-0002-2234-6171; Barthlott, Sabine/0000-0003-0258-9421; Bracher, Astrid/0000-0003-3025-5517; Ionov, Dmitry/0000-0002-4844-5397; Stiller, Gabriele P./0000-0003-2883-6873; Ionov, Dmitry/0000-0002-4844-5397; Wetzel, Gerald/0000-0002-6671-0297; Lambert, Jean-Christopher/0000-0001-7243-6848; Ruhnke, Roland/0000-0002-0353-1603; Blumenstock, Thomas/0000-0003-4005-900X; Sinnhuber, Miriam/0000-0002-3527-9051; Lopez-Puertas, Manuel/0000-0003-2941-7734; Funke, Bernd/0000-0003-0462-4702</t>
  </si>
  <si>
    <t>10.5194/acp-7-3261-2007</t>
  </si>
  <si>
    <t>WOS:000247572500014</t>
  </si>
  <si>
    <t>Bloss, WJ; Lee, JD; Heard, DE; Salmon, RA; Bauguitte, SJB; Roscoe, HK; Jones, AE</t>
  </si>
  <si>
    <t>Bloss, W. J.; Lee, J. D.; Heard, D. E.; Salmon, R. A.; Bauguitte, S. J. -B.; Roscoe, H. K.; Jones, A. E.</t>
  </si>
  <si>
    <t>Observations of OH and HO2 radicals in coastal Antarctica</t>
  </si>
  <si>
    <t>METHANE SULFONIC-ACID; BOUNDARY-LAYER; SOUTH-POLE; FIELD; CHEMISTRY; PHOTOLYSIS; AIR; NO; PHOTOCHEMISTRY; HYDROCARBONS</t>
  </si>
  <si>
    <t>OH and HO2 radical concentrations have been measured in the boundary layer of coastal Antarctica for a six-week period during the austral summer of 2005. The measurements were performed at the British Antarctic Survey's Halley Research Station ( 75 degrees 35' S, 26 degrees 19' W), using the technique of on-resonance laser-induced fluorescence to detect OH, with HO2 measured following chemical conversion through addition of NO. The mean radical levels were 3.9 x 10(5) molecule cm(-3) for OH, and 0.76 ppt for HO2 ( ppt denotes parts per trillion, by volume). Typical maximum ( local noontime) levels were 7.9 x 10(5) molecule cm(-3) and 1.50 ppt for OH and HO2 respectively. The main sources of HOx were photolysis of O-3 and HCHO, with potentially important but uncertain contributions from HONO and higher aldehydes. Of the measured OH sinks, reaction with CO and CH4 dominated, however comparison of the observed OH concentrations with those calculated via the steady state approximation indicated that additional co-reactants were likely to have been present. Elevated levels of NOx resulting from snowpack photochemistry contributed to HOx cycling and enhanced levels of OH, however the halogen oxides IO and BrO dominated the CH3O2 - HO2 - OH conversion in this environment, with associated ozone destruction.</t>
  </si>
  <si>
    <t>Univ Birmingham, Sch Geog Earth &amp; Environm Sci, Birmingham B15 2TT, W Midlands, England; Univ York, Dept Chem, York YO10 5DD, N Yorkshire, England; Univ Leeds, Sch Chem, Leeds LS2 9JT, W Yorkshire, England; British Antarctic Survey, Cambridge CB3 0ET, England</t>
  </si>
  <si>
    <t>University of Birmingham; University of York - UK; University of Leeds; UK Research &amp; Innovation (UKRI); Natural Environment Research Council (NERC); NERC British Antarctic Survey</t>
  </si>
  <si>
    <t>Bloss, WJ (corresponding author), Univ Birmingham, Sch Geog Earth &amp; Environm Sci, Birmingham B15 2TT, W Midlands, England.</t>
  </si>
  <si>
    <t>w.j.bloss@bham.ac.uk</t>
  </si>
  <si>
    <t>lee, sooyoon/JEP-0415-2023; Bloss, William/N-1305-2014; Heard, Dwayne/M-3624-2017</t>
  </si>
  <si>
    <t>Bloss, William/0000-0002-3017-4461; Lee, James D/0000-0001-5397-2872; Heard, Dwayne/0000-0002-0357-6238</t>
  </si>
  <si>
    <t>10.5194/acp-7-4171-2007</t>
  </si>
  <si>
    <t>204VU</t>
  </si>
  <si>
    <t>gold, Green Submitted</t>
  </si>
  <si>
    <t>WOS:000249072900001</t>
  </si>
  <si>
    <t>Grannas, AM; Jones, AE; Dibb, J; Ammann, M; Anastasio, C; Beine, HJ; Bergin, M; Bottenheim, J; Boxe, CS; Carver, G; Chen, G; Crawford, JH; Dominé, F; Frey, MM; Guzmán, MI; Heard, DE; Helmig, D; Hoffmann, MR; Honrath, RE; Huey, LG; Hutterli, M; Jacobi, HW; Klan, P; Lefer, B; McConnell, J; Plane, J; Sander, R; Savarino, J; Shepson, PB; Simpson, WR; Sodeau, JR; von Glasow, R; Weller, R; Wolff, EW; Zhu, T</t>
  </si>
  <si>
    <t>Grannas, A. M.; Jones, A. E.; Dibb, J.; Ammann, M.; Anastasio, C.; Beine, H. J.; Bergin, M.; Bottenheim, J.; Boxe, C. S.; Carver, G.; Chen, G.; Crawford, J. H.; Domine, F.; Frey, M. M.; Guzman, M. I.; Heard, D. E.; Helmig, D.; Hoffmann, M. R.; Honrath, R. E.; Huey, L. G.; Hutterli, M.; Jacobi, H. W.; Klan, P.; Lefer, B.; McConnell, J.; Plane, J.; Sander, R.; Savarino, J.; Shepson, P. B.; Simpson, W. R.; Sodeau, J. R.; von Glasow, R.; Weller, R.; Wolff, E. W.; Zhu, T.</t>
  </si>
  <si>
    <t>An overview of snow photochemistry:: evidence, mechanisms and impacts</t>
  </si>
  <si>
    <t>HYDROGEN-PEROXIDE H2O2; HIGH-ALPINE SITE; ASSEMBLED ALKANETHIOLATE MONOLAYERS; TEMPERATURE-PROGRAMMED DESORPTION; POLYCYCLIC AROMATIC-HYDROCARBONS; CHEMISTRY TRANSPORT MODELS; REACTIVE NITROGEN-OXIDES; OZONE DEPLETION EVENTS; ARCTIC BOUNDARY-LAYER; MIXED-PHASE CLOUDS</t>
  </si>
  <si>
    <t>It has been shown that sunlit snow and ice plays an important role in processing atmospheric species. Photochemical production of a variety of chemicals has recently been reported to occur in snow/ice and the release of these photochemically generated species may significantly impact the chemistry of the overlying atmosphere. Nitrogen oxide and oxidant precursor fluxes have been measured in a number of snow covered environments, where in some cases the emissions significantly impact the overlying boundary layer. For example, photochemical ozone production (such as that occurring in polluted mid-latitudes) of 3-4 ppbv/day has been observed at South Pole, due to high OH and NO levels present in a relatively shallow boundary layer. Field and laboratory experiments have determined that the origin of the observed NOx flux is the photochemistry of nitrate within the snowpack, however some details of the mechanism have not yet been elucidated. A variety of low molecular weight organic compounds have been shown to be emitted from sunlit snowpacks, the source of which has been proposed to be either direct or indirect photo-oxidation of natural organic materials present in the snow. Although myriad studies have observed active processing of species within irradiated snowpacks, the fundamental chemistry occurring remains poorly understood. Here we consider the nature of snow at a fundamental, physical level; photochemical processes within snow and the caveats needed for comparison to atmospheric photochemistry; our current understanding of nitrogen, oxidant, halogen and organic photochemistry within snow; the current limitations faced by the field and implications for the future.</t>
  </si>
  <si>
    <t>Villanova Univ, Dept Chem, Villanova, PA 19085 USA; British Antarctic Survey, NERC, Cambridge CB3 0ET, England; Univ New Hampshire, Inst Study Earth Oceans &amp; Space, Durham, NH 03824 USA; Paul Scherrer Inst, Lab Radio &amp; Environm Chem, CH-5232 Villigen, Switzerland; Univ Calif Davis, Dept Land Air &amp; Water Resources, Davis, CA 95616 USA; Consiglio Nazl Ricerche Ist Inquinamento Atmosfer, I-00016 Rome, Italy; Georgia Inst Technol, Sch Civil &amp; Environm Engn, Atlanta, GA 30332 USA; Georgia Inst Technol, Sch Earth &amp; Atmospher Sci, Atlanta, GA 30332 USA; Environm Canada, Air Qual Res Branch, Downsview, ON, Canada; CALTECH, WM Keck Lab, Pasadena, CA 91125 USA; Univ Cambridge, Ctr Atmospher Sci, Dept Chem, Cambridge, England; NASA, Langley Res Ctr, Hampton, VA 23681 USA; Univ Grenoble 1, CNRS, Lab Glaciol &amp; Geophys Environm, St Martin Dheres, France; Univ Calif Merced, Sch Engn, Merced, CA 95343 USA; Harvard Univ, Sch Engn &amp; Appl Sci, Cambridge, MA USA; Univ Leeds, Sch Chem, Leeds LS2 9JT, W Yorkshire, England; Univ Colorado, Inst Arctic &amp; Alpine Res, Boulder, CO 80309 USA; Michigan Technol Univ, Dept Civil &amp; Environm Engn, Houghton, MI 49931 USA; Sch Earth &amp; Atmospher Sci, Georgia Inst Technol, Atlanta, GA 30033 USA; Alfred Wegener Inst Polar &amp; Marine Res, Bremerhaven, Germany; Masaryk Univ, Dept Chem, Brno, Czech Republic; York Univ, Dept Earth &amp; Space Sci &amp; Engn, Toronto, ON, Canada; Max Planck Inst Chem, Air Chem Dept, D-55020 Mainz, Germany; Purdue Univ, Dept Chem, W Lafayette, IN 47907 USA; Purdue Univ, Dept Earth &amp; Atmospher Sci, W Lafayette, IN 47907 USA; Univ Alaska Fairbanks, Inst Geophys, Dept Chem, Fairbanks, AK 99775 USA; Univ Coll Cork, Dept Chem, Cork, Ireland; Heidelberg Univ, Inst Environm Phys, Heidelberg, Germany; Univ E Anglia, Sch Environm Sci, Norwich, Norfolk, England; Peking Univ, Coll Environm Sci, Beijing 100871, Peoples R China; Univ Houston, Dept Geosci, Houston, TX 77204 USA</t>
  </si>
  <si>
    <t>Villanova University; UK Research &amp; Innovation (UKRI); Natural Environment Research Council (NERC); NERC British Antarctic Survey; University System Of New Hampshire; University of New Hampshire; Swiss Federal Institutes of Technology Domain; Paul Scherrer Institute; University of California System; University of California Davis; University System of Georgia; Georgia Institute of Technology; University System of Georgia; Georgia Institute of Technology; Environment &amp; Climate Change Canada; California Institute of Technology; University of Cambridge; National Aeronautics &amp; Space Administration (NASA); NASA Langley Research Center; Centre National de la Recherche Scientifique (CNRS); Communaute Universite Grenoble Alpes; Universite Grenoble Alpes (UGA); University of California System; University of California Merced; Harvard University; University of Leeds; University of Colorado System; University of Colorado Boulder; Michigan Technological University; University System of Georgia; Georgia Institute of Technology; Helmholtz Association; Alfred Wegener Institute, Helmholtz Centre for Polar &amp; Marine Research; Masaryk University Brno; York University - Canada; Max Planck Society; Purdue University System; Purdue University; Purdue University System; Purdue University; University of Alaska System; University of Alaska Fairbanks; University College Cork; Ruprecht Karls University Heidelberg; University of East Anglia; Peking University; University of Houston System; University of Houston</t>
  </si>
  <si>
    <t>Grannas, AM (corresponding author), Villanova Univ, Dept Chem, Villanova, PA 19085 USA.</t>
  </si>
  <si>
    <t>amanda.grannas@villanova.edu</t>
  </si>
  <si>
    <t>Lefer, Barry L/B-5417-2012; Klán, Petr/H-1189-2012; Lefer, Barry/X-9091-2019; Wolff, Eric W/D-7925-2014; Savarino, Joel/H-9730-2012; Shepson, Paul B/E-9955-2012; Frey, Markus/G-1756-2012; Guzman, Marcelo I./C-5966-2008; Klán, Petr/JCE-4586-2023; Sodeau, John/IAM-0533-2023; von Glasow, Roland/E-2125-2011; Domine, Florent/E-8699-2011; Ammann, Markus/E-4576-2011; ZHU, TONG/H-6501-2011; Crawford, James/L-6632-2013; Plane, John/C-7444-2015; Simpson, William/I-2859-2014; Grannas, Amanda/F-4804-2010; Heard, Dwayne/M-3624-2017; Sander, Rolf/A-5725-2011</t>
  </si>
  <si>
    <t>Lefer, Barry L/0000-0001-9520-5495; Klán, Petr/0000-0001-6287-2742; Lefer, Barry/0000-0001-9520-5495; Wolff, Eric W/0000-0002-5914-8531; Savarino, Joel/0000-0002-6708-9623; Frey, Markus/0000-0003-0535-0416; Guzman, Marcelo I./0000-0002-6730-7766; Klán, Petr/0000-0001-6287-2742; von Glasow, Roland/0000-0002-3944-2784; Ammann, Markus/0000-0001-5922-9000; ZHU, TONG/0000-0002-2752-7924; Crawford, James/0000-0002-6982-0934; Jacobi, Hans-Werner/0000-0003-2230-3136; Carver, Glenn/0000-0001-7582-6497; Plane, John/0000-0003-3648-6893; Simpson, William/0000-0002-8596-7290; Grannas, Amanda/0000-0003-4719-348X; Heard, Dwayne/0000-0002-0357-6238; Sander, Rolf/0000-0001-6479-2092</t>
  </si>
  <si>
    <t>10.5194/acp-7-4329-2007</t>
  </si>
  <si>
    <t>Green Published, Green Submitted, gold</t>
  </si>
  <si>
    <t>WOS:000249072900013</t>
  </si>
  <si>
    <t>Simpson, WR; von Glasow, R; Riedel, K; Anderson, P; Ariya, P; Bottenheim, J; Burrows, J; Carpenter, LJ; Friess, U; Goodsite, ME; Heard, D; Hutterli, M; Jacobi, HW; Kaleschke, L; Neff, B; Plane, J; Platt, U; Richter, A; Roscoe, H; Sander, R; Shepson, P; Sodeau, J; Steffen, A; Wagner, T; Wolff, E</t>
  </si>
  <si>
    <t>Simpson, W. R.; von Glasow, R.; Riedel, K.; Anderson, P.; Ariya, P.; Bottenheim, J.; Burrows, J.; Carpenter, L. J.; Friess, U.; Goodsite, M. E.; Heard, D.; Hutterli, M.; Jacobi, H.-W.; Kaleschke, L.; Neff, B.; Plane, J.; Platt, U.; Richter, A.; Roscoe, H.; Sander, R.; Shepson, P.; Sodeau, J.; Steffen, A.; Wagner, T.; Wolff, E.</t>
  </si>
  <si>
    <t>Halogens and their role in polar boundary-layer ozone depletion</t>
  </si>
  <si>
    <t>ARCTIC SEA-ICE; GROUND-BASED MEASUREMENTS; ABSORPTION CROSS-SECTION; METHANE SULFONIC-ACID; FROST FLOWER GROWTH; TROPOSPHERIC OZONE; SURFACE OZONE; ATMOSPHERIC MERCURY; NY-ALESUND; VERTICAL-DISTRIBUTION</t>
  </si>
  <si>
    <t>During springtime in the polar regions, unique photochemistry converts inert halide salt ions (e.g. Br-) into reactive halogen species (e.g. Br atoms and BrO) that deplete ozone in the boundary layer to near zero levels. Since their discovery in the late 1980s, research on ozone depletion events (ODEs) has made great advances; however many key processes remain poorly understood. In this article we review the history, chemistry, dependence on environmental conditions, and impacts of ODEs. This research has shown the central role of bromine photochemistry, but how salts are transported from the ocean and are oxidized to become reactive halogen species in the air is still not fully understood. Halogens other than bromine (chlorine and iodine) are also activated through incompletely understood mechanisms that are probably coupled to bromine chemistry. The main consequence of halogen activation is chemical destruction of ozone, which removes the primary precursor of atmospheric oxidation, and generation of reactive halogen atoms/oxides that become the primary oxidizing species. The different reactivity of halogens as compared to OH and ozone has broad impacts on atmospheric chemistry, including near complete removal and deposition of mercury, alteration of oxidation fates for organic gases, and export of bromine into the free troposphere. Recent changes in the climate of the Arctic and state of the Arctic sea ice cover are likely to have strong effects on halogen activation and ODEs; however, more research is needed to make meaningful predictions of these changes.</t>
  </si>
  <si>
    <t>Univ Alaska, Inst Geophys, Dept Chem, Fairbanks, AK 99775 USA; Univ E Anglia, Sch Environm Sci, Norwich NR4 7TJ, Norfolk, England; Natl Inst Water &amp; Atmospher Res, Wellington, New Zealand; British Antarctic Survey, Cambridge CB3 0ET, England; McGill Univ, Montreal, PQ H3A 2T5, Canada; Environm Canada, Toronto, ON, Canada; Univ Bremen, Inst Environm Phys, Bremen, Germany; Univ York, Dept Chem, York YO10 5DD, N Yorkshire, England; Heidelberg Univ, Inst Environm Phys, Heidelberg, Germany; Univ So Denmark, Dept Chem &amp; Phys, DK-5230 Odense, Denmark; Univ Leeds, Sch Chem, Leeds LS2 9JT, W Yorkshire, England; Univ Hamburg, Ctr Marine &amp; Atmospher Res, Inst Oceanog, D-20146 Hamburg, Germany; NOAA, Earth Syst Res Lab, Boulder, CO USA; Max Planck Inst Chem, Air Chem Dept, D-55020 Mainz, Germany; Purdue Climate Change Res Ctr, W Lafayette, IN 47907 USA; Univ Coll Cork, Dept Chem, Cork, Ireland; Alfred Wegener Inst Polar &amp; Marine Res, Bremerhaven, Germany</t>
  </si>
  <si>
    <t>University of Alaska System; University of Alaska Fairbanks; University of East Anglia; National Institute of Water &amp; Atmospheric Research (NIWA) - New Zealand; UK Research &amp; Innovation (UKRI); Natural Environment Research Council (NERC); NERC British Antarctic Survey; McGill University; Environment &amp; Climate Change Canada; University of Bremen; University of York - UK; Ruprecht Karls University Heidelberg; University of Southern Denmark; University of Leeds; University of Hamburg; National Oceanic Atmospheric Admin (NOAA) - USA; Max Planck Society; Purdue University System; Purdue University; University College Cork; Helmholtz Association; Alfred Wegener Institute, Helmholtz Centre for Polar &amp; Marine Research</t>
  </si>
  <si>
    <t>Simpson, WR (corresponding author), Univ Alaska, Inst Geophys, Dept Chem, Fairbanks, AK 99775 USA.</t>
  </si>
  <si>
    <t>ffwrs@uaf.edu</t>
  </si>
  <si>
    <t>Burrows, John Philip/AAF-8468-2019; Platt, Ulrich/HZM-2289-2023; Wolff, Eric W/D-7925-2014; Sodeau, John/IAM-0533-2023; Neff, William D/E-2725-2010; Frieß, Udo/B-1696-2012; Carpenter, Lucy J/E-6742-2013; Goodsite, Michael/X-9374-2019; Shepson, Paul B/E-9955-2012; Ariya, Parisa A/G-2810-2015; von Glasow, Roland/E-2125-2011; Carpenter, Laura/JPY-0437-2023; Simpson, William/I-2859-2014; Sander, Rolf/A-5725-2011; Richter, Andreas/C-4971-2008; Plane, John/C-7444-2015; Heard, Dwayne/M-3624-2017</t>
  </si>
  <si>
    <t>Burrows, John Philip/0000-0002-6821-5580; Wolff, Eric W/0000-0002-5914-8531; Neff, William D/0000-0003-4047-7076; Goodsite, Michael/0000-0002-4565-6607; von Glasow, Roland/0000-0002-3944-2784; Simpson, William/0000-0002-8596-7290; Sander, Rolf/0000-0001-6479-2092; Carpenter, Lucy/0000-0002-6257-3950; Richter, Andreas/0000-0003-3339-212X; Jacobi, Hans-Werner/0000-0003-2230-3136; Friess, Udo/0000-0001-7176-7936; Plane, John/0000-0003-3648-6893; Heard, Dwayne/0000-0002-0357-6238; Kaleschke, Lars/0000-0001-7086-3299</t>
  </si>
  <si>
    <t>10.5194/acp-7-4375-2007</t>
  </si>
  <si>
    <t>Green Published, gold, Green Submitted, Green Accepted</t>
  </si>
  <si>
    <t>WOS:000249072900014</t>
  </si>
  <si>
    <t>Newman, PA; Daniel, JS; Waugh, DW; Nash, ER</t>
  </si>
  <si>
    <t>Newman, P. A.; Daniel, J. S.; Waugh, D. W.; Nash, E. R.</t>
  </si>
  <si>
    <t>A new formulation of equivalent effective stratospheric chlorine (EESC)</t>
  </si>
  <si>
    <t>TOTAL OZONE; TRANSPORT MODEL; POTENTIALS; DEPLETION; HALOGEN; AIR</t>
  </si>
  <si>
    <t>Equivalent effective stratospheric chlorine (EESC) is a convenient parameter to quantify the effects of halogens (chlorine and bromine) on ozone depletion in the stratosphere. We show, discuss, and analyze a new formulation of EESC that now includes the effects of age-of-air dependent fractional release values and an age-of-air spectrum. This EESC can be more appropriately applied to various parts of the stratosphere because of this dependence on mean age-of-air. This new formulation provides quantitative estimates of EESC that can be directly related to inorganic chlorine and bromine throughout the stratosphere. In this paper, we first provide a detailed description of the EESC calculation. We then use this EESC formulation to estimate that human-produced ozone depleting substances will recover to 1980 levels in 2041 in the midlatitudes, and 2067 over Antarctica. These recovery dates are based upon the assumption that the international agreements for regulating ozone-depleting substances are adhered to. In addition to recovery dates, we also estimate the uncertainties and possible problems in the estimated times of recovery. The midlatitude recovery of 2041 has a 95% confidence uncertainty from 2028 to 2049, while the 2067 Antarctic recovery has a 95% confidence uncertainty from 2056 to 2078. The principal uncertainties are from the estimated mean age-of-air and fractional release values, and the assumption that these quantities are time independent. Using other model estimates of age decrease due to climate change, we estimate that midlatitude recovery may be significantly accelerated.</t>
  </si>
  <si>
    <t>NASA, Goddard Space Flight Ctr, Atmospher Chem &amp; Dynam Branch, Greenbelt, MD 20771 USA; NOAA, Div Chem Sci, Earth Syst Res Lab, Boulder, CO USA; Johns Hopkins Univ, Baltimore, MD USA; Sci Syst &amp; Applicat Inc, Lanham, MD USA</t>
  </si>
  <si>
    <t>National Aeronautics &amp; Space Administration (NASA); NASA Goddard Space Flight Center; National Oceanic Atmospheric Admin (NOAA) - USA; Johns Hopkins University; Science Systems and Applications Inc</t>
  </si>
  <si>
    <t>Newman, PA (corresponding author), NASA, Goddard Space Flight Ctr, Atmospher Chem &amp; Dynam Branch, Greenbelt, MD 20771 USA.</t>
  </si>
  <si>
    <t>paul.a.newman@nasa.gov</t>
  </si>
  <si>
    <t>Daniel, John S/D-9324-2011; Newman, Paul A./D-6208-2012; Waugh, Darryn/K-3688-2016</t>
  </si>
  <si>
    <t>Newman, Paul A./0000-0003-1139-2508; Waugh, Darryn/0000-0001-7692-2798</t>
  </si>
  <si>
    <t>COPERNICUS PUBLICATIONS</t>
  </si>
  <si>
    <t>KATHLENBURG-LINDAU</t>
  </si>
  <si>
    <t>MAX-PLANCK-STR 13, KATHLENBURG-LINDAU, 37191, GERMANY</t>
  </si>
  <si>
    <t>10.5194/acp-7-4537-2007</t>
  </si>
  <si>
    <t>210SD</t>
  </si>
  <si>
    <t>WOS:000249475000005</t>
  </si>
  <si>
    <t>Mills, GP; Sturges, WT; Salmon, RA; Bauguitte, SJB; Read, KA; Bandy, BJ</t>
  </si>
  <si>
    <t>Mills, G. P.; Sturges, W. T.; Salmon, R. A.; Bauguitte, S. J. -B.; Read, K. A.; Bandy, B. J.</t>
  </si>
  <si>
    <t>Seasonal variation of peroxyacetylnitrate (PAN) in coastal Antarctica measured with a new instrument for the detection of sub-part per trillion mixing ratios of PAN</t>
  </si>
  <si>
    <t>GAS-PHASE REACTIONS; NITRATE PAN; ATMOSPHERIC CHEMISTRY; PHOTOCHEMICAL DATA; OH; TROPOSPHERE; KINETICS; AIR; HO2</t>
  </si>
  <si>
    <t>An automated gas chromatograph with sample pre-concentration for the measurement of peroxyacetylnitrate (PAN) was constructed with a minimum detection limit below 1 pptv. This instrument was deployed at the British Antarctic Survey's Halley Research Station, Antarctica (75.6 degrees S, 26.6 degrees W) as part of the CHABLIS (Chemistry of the Antarctic Boundary Layer and the Interface with Snow) campaign. Hourly measurements were carried out between July 2004 and February 2005 with observed maximum and minimum mixing ratios of 52.3 and &lt; 0.6 pptv, respectively with a mean PAN mixing ratio for the measurement period of 9.2 pptv (standard deviation: 6.2 pptv). The changes in PAN mixing ratios typically occurred over periods of several days to a week and showed a strong similarity to the variation in alkenes. The mixing ratio of PAN at Halley has a possible seasonal cycle with a winter maximum and summer minimum, though the cycle is incomplete and the data are very variable. Calculations indicate that gross local PAN production is approximately 1 pptv d(-1) in spring and 0.6 pptv d(-1) in summer. Net loss of PAN transported to Halley in the summer is a small gas-phase source of NOx and net production of PAN in the spring is a very small NOx sink.</t>
  </si>
  <si>
    <t>Univ E Anglia, Sch Environm Sci, Norwich NR4 7TJ, Norfolk, England; British Antarctic Survey, Cambridge CB3 0ET, England; Univ York, Dept Chem, York YO19 4RR, N Yorkshire, England</t>
  </si>
  <si>
    <t>University of East Anglia; UK Research &amp; Innovation (UKRI); Natural Environment Research Council (NERC); NERC British Antarctic Survey; University of York - UK</t>
  </si>
  <si>
    <t>Mills, GP (corresponding author), Univ E Anglia, Sch Environm Sci, Norwich NR4 7TJ, Norfolk, England.</t>
  </si>
  <si>
    <t>g.mills@uea.ac.uk</t>
  </si>
  <si>
    <t>Sturges, William/B-8248-2012</t>
  </si>
  <si>
    <t>Read, Katie/0000-0002-4044-455X</t>
  </si>
  <si>
    <t>10.5194/acp-7-4589-2007</t>
  </si>
  <si>
    <t>WOS:000249475000008</t>
  </si>
  <si>
    <t>Anderson, PS; Bauguitte, SJB</t>
  </si>
  <si>
    <t>Anderson, P. S.; Bauguitte, S. J. -B.</t>
  </si>
  <si>
    <t>Behaviour of tracer diffusion in simple atmospheric boundary layer models</t>
  </si>
  <si>
    <t>FLUXES</t>
  </si>
  <si>
    <t>1-D profiles and time series from an idealised atmospheric boundary layer model are presented, which show agreement with boundary layer measurements of polar NOx. Diffusion models are increasingly being used as the framework for studying tropospheric air chemistry dynamics. Models based on standard boundary layer diffusivity profiles have an intrinsic behaviour that is not necessarily intuitive, due to the variation of turbulent diffusivity with height. The simple model presented captures the essence of the evolution of a trace gas released at the surface, and thereby provides both a programming and a conceptual tool in the analysis of observed trace gas evolution. A time scale inherent in the model can be tuned by fitting model time series to observations. This scale is then applicable to the more physically simple but chemically complex zeroth order or box models of chemical interactions.</t>
  </si>
  <si>
    <t>British Antarctic Survey, Cambridge CB3 0ET, England</t>
  </si>
  <si>
    <t>UK Research &amp; Innovation (UKRI); Natural Environment Research Council (NERC); NERC British Antarctic Survey</t>
  </si>
  <si>
    <t>Anderson, PS (corresponding author), British Antarctic Survey, Madingley Rd, Cambridge CB3 0ET, England.</t>
  </si>
  <si>
    <t>philip.s.anderson@bas.ac.uk</t>
  </si>
  <si>
    <t>10.5194/acp-7-5147-2007</t>
  </si>
  <si>
    <t>235MS</t>
  </si>
  <si>
    <t>WOS:000251239000008</t>
  </si>
  <si>
    <t>Pitts, MC; Thomason, LW; Poole, LR; Winker, DM</t>
  </si>
  <si>
    <t>Pitts, M. C.; Thomason, L. W.; Poole, L. R.; Winker, D. M.</t>
  </si>
  <si>
    <t>Characterization of Polar Stratospheric Clouds with spaceborne lidar: CALIPSO and the 2006 Antarctic season</t>
  </si>
  <si>
    <t>DUMONT DURVILLE; OZONE LOSS; POAM-II; WINTER; AEROSOL; CLIMATOLOGY; VALIDATION; DEPLETION; VORTEX; MIPAS</t>
  </si>
  <si>
    <t>The role of polar stratospheric clouds in polar ozone loss has been well documented. The CALIPSO satellite mission offers a new opportunity to characterize PSCs on spatial and temporal scales previously impossible. A PSC detection algorithm based on a single wavelength threshold approach has been developed for CALIPSO. The method appears to accurately detect PSCs of all opacities, including tenuous clouds, with a very low rate of false positives and few missed clouds. We applied the algorithm to CALIOP data acquired during the 2006 Antarctic winter season from 13 June through 31 October. The spatial and temporal distribution of CALIPSO PSC observations is illustrated with weekly maps of PSC occurrence. The evolution of the 2006 PSC season is depicted by time series of daily PSC frequency as a function of altitude. Comparisons with '' virtual '' solar occultation data indicate that CALIPSO provides a different view of the PSC season than attained with previous solar occultation satellites. Measurement-based time series of PSC areal coverage and vertically-integrated PSC volume are computed from the CALIOP data. The observed area covered with PSCs is significantly smaller than would be inferred from the commonly used temperature-based proxy TNAT but is similar in magnitude to that inferred from T-STS. The potential of CALIOP measurements for investigating PSC composition is illustrated using combinations of lidar backscatter and volume depolarization for two CALIPSO PSC scenes.</t>
  </si>
  <si>
    <t>NASA, Langley Res Ctr, Hampton, VA 23665 USA; Sci Syst &amp; Appl Inc, Hampton, VA USA</t>
  </si>
  <si>
    <t>National Aeronautics &amp; Space Administration (NASA); NASA Langley Research Center</t>
  </si>
  <si>
    <t>Pitts, MC (corresponding author), NASA, Langley Res Ctr, Hampton, VA 23665 USA.</t>
  </si>
  <si>
    <t>michael.c.pitts@nasa.gov</t>
  </si>
  <si>
    <t>Thomason, Larry/0000-0002-1902-0840</t>
  </si>
  <si>
    <t>10.5194/acp-7-5207-2007</t>
  </si>
  <si>
    <t>WOS:000251239000012</t>
  </si>
  <si>
    <t>Brühl, C; Steil, B; Stiller, G; Funke, B; Jöckel, P</t>
  </si>
  <si>
    <t>Bruehl, C.; Steil, B.; Stiller, G.; Funke, B.; Joeckel, P.</t>
  </si>
  <si>
    <t>Nitrogen compounds and ozone in the stratosphere:: comparison of MIPAS satellite data with the chemistry climate model ECHAM5/MESSy1</t>
  </si>
  <si>
    <t>TECHNICAL NOTE; NITRIC-ACID; GAS</t>
  </si>
  <si>
    <t>The chemistry climate model ECHAM5/MESSy1 (E5/M1) in a setup extending from the surface to 80 km with a vertical resolution of about 600 m near the tropopause with nudged tropospheric meteorology allows a direct comparison with satellite data of chemical species at the same time and location. Here we present results out of a transient 10 years simulation for the period of the Antarctic vortex split in September 2002, where data of MIPAS on the ENVISAT-satellite are available. For the first time this satellite instrument opens the opportunity, to evaluate all stratospheric nitrogen containing species simultaneously with a good global coverage, including the source gas N2O and ozone which allows an estimate for NOx-production in the stratosphere. We show correlations between simulated and observed species in the altitude region between 10 and 50 hpa for different latitude belts, together with the Probability Density Functions (PDFs) of model results and observations. This is supplemented by global maps on pressure levels showing the comparison between the satellite and the simulated data sampled at the same time and location. We demonstrate that the model in most cases captures the partitioning in the nitrogen family, the diurnal cycles and the spatial distribution within experimental uncertainty. This includes even variations due to tropospheric clouds. There appears to be, however, a problem to reproduce the observed nighttime partitioning between N2O5 and NO2 in the middle stratosphere using the recommended set of reaction coefficients and photolysis data.</t>
  </si>
  <si>
    <t>Max Planck Inst Chem, Mainz, Germany; Forschungszentrum, Inst Meteorol &amp; Climate Res, Karlsruhe, Germany; Inst Astrofis Andalucia, Granada, Spain</t>
  </si>
  <si>
    <t>Max Planck Society; Helmholtz Association; Karlsruhe Institute of Technology; Consejo Superior de Investigaciones Cientificas (CSIC); CSIC - Instituto de Astrofisica de Andalucia (IAA)</t>
  </si>
  <si>
    <t>Brühl, C (corresponding author), Max Planck Inst Chem, Mainz, Germany.</t>
  </si>
  <si>
    <t>chb@mpch-mainz.mpg.de</t>
  </si>
  <si>
    <t>Jöckel, Patrick/C-3687-2009; Stiller, Gabriele P./A-7340-2013; Funke, Bernd/C-2162-2008</t>
  </si>
  <si>
    <t>Jöckel, Patrick/0000-0002-8964-1394; Stiller, Gabriele P./0000-0003-2883-6873; Funke, Bernd/0000-0003-0462-4702</t>
  </si>
  <si>
    <t>235MX</t>
  </si>
  <si>
    <t>WOS:000251239500008</t>
  </si>
  <si>
    <t>Garny, H; Bodeker, GE; Dameris, M</t>
  </si>
  <si>
    <t>Garny, H.; Bodeker, G. E.; Dameris, M.</t>
  </si>
  <si>
    <t>Trends and variability in stratospheric mixing: 1979-2005</t>
  </si>
  <si>
    <t>QUASI-BIENNIAL OSCILLATION; ROSSBY-WAVE BREAKING; ANTARCTIC POLAR VORTEX; COLUMN OZONE; NORTHERN MIDLATITUDES; POTENTIAL VORTICITY; LYAPUNOV EXPONENTS; EP FLUX; TRANSPORT; CIRCULATION</t>
  </si>
  <si>
    <t>Changes in climate are likely to drive changes in stratospheric mixing with associated implications for changes in transport of ozone from tropical source regions to higher latitudes, transport of water vapour and source gas degradation products from the tropical tropopause layer into the mid-latitude lower stratosphere, and changes in the meridional distribution of long-lived trace gases. To diagnose long-term changes in stratospheric mixing, global monthly fields of Lyapunov exponents were calculated on the 450 K, 550 K, and 650 K isentropic surfaces by applying a trajectory model to wind fields from NCEP/NCAR reanalyses over the period 1979 to 2005. Potential underlying geophysical drivers of trends and variability in these mixing fields were investigated by applying a least squares regression model, which included basis functions for a mean annual cycle, seasonally dependent linear trends, the quasi-biennial oscillation (QBO), the solar cycle, and the El Nino Southern Oscillation (ENSO), to zonal mean time series of the Lyapunov exponents. Long-term positive trends in mixing are apparent over southern middle to high latitudes at 450 K through most of the year, while negative trends over southern high latitudes are apparent at 650 K from May to August. Wintertime negative trends in mixing over northern mid-latitudes are apparent at 550 K and 650 K. Over low latitudes, within 40 degrees of the equator, the QBO exerts a strong influence on mixing at all three analysis levels. This QBO influence is strongly modulated by the annual cycle and shows a phase shift across the subtropical mixing barrier. Solar cycle and ENSO influences on mixing are generally not significant. The diagnosed long-term changes in mixing should aid the interpretation of trends in stratospheric trace gases.</t>
  </si>
  <si>
    <t>Univ Munich, Inst Meteorol, D-80539 Munich, Germany; Natl Inst Water &amp; Atmospher Branch, Lauder, New Zealand; DLR, Inst Atmospher Phys, Oberpfaffenhofen, Germany</t>
  </si>
  <si>
    <t>University of Munich; National Institute of Water &amp; Atmospheric Research (NIWA) - New Zealand; Helmholtz Association; German Aerospace Centre (DLR)</t>
  </si>
  <si>
    <t>Garny, H (corresponding author), Univ Munich, Inst Meteorol, D-80539 Munich, Germany.</t>
  </si>
  <si>
    <t>hella.garny@dlr.de</t>
  </si>
  <si>
    <t>Bodeker, Greg E/A-8870-2008</t>
  </si>
  <si>
    <t>Bodeker, Gregory/0000-0003-1094-5852; Dameris, Martin/0000-0001-6700-0628; Garny, Hella/0000-0003-4960-2304</t>
  </si>
  <si>
    <t>10.5194/acp-7-5611-2007</t>
  </si>
  <si>
    <t>WOS:000251239500010</t>
  </si>
  <si>
    <t>Stephenson, SL; Laursen, GA; Seppelt, RD</t>
  </si>
  <si>
    <t>Stephenson, Steven L.; Laursen, Gary A.; Seppelt, Rodney D.</t>
  </si>
  <si>
    <t>Myxomycetes of subantarctic Macquarie island</t>
  </si>
  <si>
    <t>AUSTRALIAN JOURNAL OF BOTANY</t>
  </si>
  <si>
    <t>SOUTHERN-HEMISPHERE; FUNGI; DIVERSITY; PATTERNS; ECOLOGY; FORESTS</t>
  </si>
  <si>
    <t>Macquarie Island is an oceanic island located 1000 km south-east of Tasmania. The island, which lies close to but north of the Antarctic Convergence, is the southernmost island in the world with a fairly complete cover of vegetation. However, the vascular. ora is impoverished and consists of only 46 species. During the period of late January to late April of 1995, 412 field collections of myxomycetes, representing at least 22 species in 11 genera, were obtained during the course of an intensive survey of fungal biodiversity on Macquarie Island. Moist-chamber cultures prepared with various types of plant debris yielded only 14 collections, but this total included three additional species and two additional genera. All but four of the species we recorded from the island are new records for the South Polar Region. Most field collections were associated with Stilbocarpa polaris ( Araliaceae) and Pleurophyllum hookeri ( Asteraceae), the usual dominants in the herbfield communities that commonly occur on upper beach slopes and coastal terraces. Trichia verrucosa ( 80 collections), Diderma alpinum ( 78) and Craterium leucocephalum ( 59) were the most consistently abundant myxomycetes. Other species represented by &gt;= 15 collections were Didymium cf. dubium, Collaria lurida, Lamproderma arcyrioides and Didymium macquariense. The latter is a species new to science that was described from material collected during the present study. All of the species of myxomycetes now known to occur on Macquarie Island are members of the Trichiales, Physarales, Stemonitales or Echinosteliales; no member of the Liceales or Ceratiomyxales was ever collected.</t>
  </si>
  <si>
    <t>Univ Arkansas, Dept Biol Sci, Fayetteville, AR 72701 USA; Univ Alaska, Dept Biol &amp; Wildlife, Fairbanks, AK 99775 USA; Australian Antarctic Div, Kingston, Tas 7050, Australia</t>
  </si>
  <si>
    <t>University of Arkansas System; University of Arkansas Fayetteville; University of Alaska System; University of Alaska Fairbanks; Australian Antarctic Division</t>
  </si>
  <si>
    <t>Stephenson, SL (corresponding author), Univ Arkansas, Dept Biol Sci, Fayetteville, AR 72701 USA.</t>
  </si>
  <si>
    <t>slsteph@uark.edu</t>
  </si>
  <si>
    <t>CSIRO PUBLISHING</t>
  </si>
  <si>
    <t>CLAYTON</t>
  </si>
  <si>
    <t>UNIPARK, BLDG 1, LEVEL 1, 195 WELLINGTON RD, LOCKED BAG 10, CLAYTON, VIC 3168, AUSTRALIA</t>
  </si>
  <si>
    <t>0067-1924</t>
  </si>
  <si>
    <t>1444-9862</t>
  </si>
  <si>
    <t>AUST J BOT</t>
  </si>
  <si>
    <t>Aust. J. Bot.</t>
  </si>
  <si>
    <t>10.1071/BT06169</t>
  </si>
  <si>
    <t>Plant Sciences</t>
  </si>
  <si>
    <t>180MA</t>
  </si>
  <si>
    <t>WOS:000247366600005</t>
  </si>
  <si>
    <t>O'Dwyer, TW; Buttemer, WA; Priddel, DM</t>
  </si>
  <si>
    <t>O'Dwyer, Terence W.; Buttemer, William A.; Priddel, David M.</t>
  </si>
  <si>
    <t>Differential rates of offspring provisioning in Gould's petrels: are better feeders better breeders?</t>
  </si>
  <si>
    <t>AUSTRALIAN JOURNAL OF ZOOLOGY</t>
  </si>
  <si>
    <t>BODY CONDITION; ANTARCTIC PETREL; MASS; SHEARWATERS; HEMATOCRIT; LEUCOPTERA; SURVIVAL; ISLAND; BIRDS; EGG</t>
  </si>
  <si>
    <t>Procellariiformes (albatrosses and petrels) must accumulate substantial energy reserves to sustain them while incubating their single egg. They then produce a chick that is often more than 130% of their own body mass. Thus, despite the variable nature of resource availability in the marine environment, successful reproduction requires a considerable increase in foraging rates. Birds that are better foragers are, therefore, likely to be better parents. As surrogates of foraging ability, we assessed two parental traits that are separated temporally over the breeding season, body condition during incubation and provisioning performance, in Gould's petrel (Pterodroma leucoptera). Although parental condition did not influence hatching success, we found significant positive correlations between the average body condition of a breeding pair and both the growth rate of chicks (g day(-1)) and the body condition of chicks at peak mass. Provisioning rate also correlated positively with chick condition. Chick condition was positively correlated with haemoglobin concentration [Hb] at peak mass, which was positively correlated with [Hb] at fledging. Because the probability of survival after fledging may be influenced by chick body condition and [Hb], the ability of parents to acquire additional resources for breeding is likely to be an important determinant of reproductive success.</t>
  </si>
  <si>
    <t>Univ Calif Davis, Sect Neurobiol Physiol &amp; Behav, Davis, CA 95616 USA; Univ Wollongong, Sch Biol Sci, Inst Conservat Biol, Wollongong, NSW 2522, Australia; Dept Environm &amp; Conservat NSW, Hurstville, NSW, Australia</t>
  </si>
  <si>
    <t>University of California System; University of California Davis; University of Wollongong</t>
  </si>
  <si>
    <t>O'Dwyer, TW (corresponding author), Univ Calif Davis, Sect Neurobiol Physiol &amp; Behav, 1 Shields Ave, Davis, CA 95616 USA.</t>
  </si>
  <si>
    <t>twodwyer@ucdavis.edu</t>
  </si>
  <si>
    <t>Buttemer, William/F-9573-2019</t>
  </si>
  <si>
    <t>Buttemer, William/0000-0003-3176-4452</t>
  </si>
  <si>
    <t>0004-959X</t>
  </si>
  <si>
    <t>1446-5698</t>
  </si>
  <si>
    <t>AUST J ZOOL</t>
  </si>
  <si>
    <t>Aust. J. Zool.</t>
  </si>
  <si>
    <t>10.1071/ZO07005</t>
  </si>
  <si>
    <t>Zoology</t>
  </si>
  <si>
    <t>183KI</t>
  </si>
  <si>
    <t>WOS:000247571300003</t>
  </si>
  <si>
    <t>John, UP; Polotnianka, RM; Sivakumaran, A; Mackin, L; Kuiper, MJ; Talbot, JP; Chew, O; Ribarev, E; Azria, D; Gunawardana, D; Spangenberg, GC</t>
  </si>
  <si>
    <t>Xu, Z; Li, J; Xue, Y; Yang, W</t>
  </si>
  <si>
    <t>John, U. P.; Polotnianka, R. M.; Sivakumaran, A.; Mackin, L.; Kuiper, M. J.; Talbot, J. P.; Chew, O.; Ribarev, E.; Azria, D.; Gunawardana, D.; Spangenberg, G. C.</t>
  </si>
  <si>
    <t>Xenogenomics:: Bioprospecting for genetic determinants of cold and freezing stress tolerance in the cryophilic antarctic hair grass Deschampsia antarctica E. Desv.</t>
  </si>
  <si>
    <t>BIOTECHNOLOGY AND SUSTAINABLE AGRICULTURE 2006 AND BEYOND</t>
  </si>
  <si>
    <t>11th Annual Congress of the International- Association-for-Plant-Tissue-Culture-and-Biotechnology</t>
  </si>
  <si>
    <t>AUG 13-18, 2006</t>
  </si>
  <si>
    <t>Beijing, PEOPLES R CHINA</t>
  </si>
  <si>
    <t>[John, U. P.; Polotnianka, R. M.; Sivakumaran, A.; Mackin, L.; Talbot, J. P.; Chew, O.; Ribarev, E.; Azria, D.; Gunawardana, D.; Spangenberg, G. C.] La Trobe Univ R&amp;D Pk, Primary Ind Res Victoria, Victorian AgriBiosci Ctr, 1 Pk Dr, Bundoora, Vic 3083, Australia; [John, U. P.; Polotnianka, R. M.; Sivakumaran, A.; Talbot, J. P.; Chew, O.; Spangenberg, G. C.] Australian Ctr Plant Funct Genom, Glen Osmond, SA 5064, Australia; [John, U. P.; Polotnianka, R. M.; Spangenberg, G. C.] Victorian Ctr Plant Funct Genom, Glen Osmond, SA 5064, Australia; [Kuiper, M. J.] Victorian Partnership Adv Comp Ltd, Melbourne, Vic 3053, Australia</t>
  </si>
  <si>
    <t>Victorian Department of Environment &amp; Primary Industries; La Trobe University; Melbourne Genomics Health Alliance</t>
  </si>
  <si>
    <t>John, UP (corresponding author), La Trobe Univ R&amp;D Pk, Primary Ind Res Victoria, Victorian AgriBiosci Ctr, 1 Pk Dr, Bundoora, Vic 3083, Australia.</t>
  </si>
  <si>
    <t>Australian Research Council; Grains Research and Development Corporation; Victorian Department of Innovation; Industry and Regional Development; Victorian Department of Primary Industries</t>
  </si>
  <si>
    <t>Australian Research Council(Australian Research Council); Grains Research and Development Corporation(Grains R&amp;D Corp); Victorian Department of Innovation; Industry and Regional Development; Victorian Department of Primary Industries</t>
  </si>
  <si>
    <t>This work was funded by the Australian Research Council, the Grains Research and Development Corporation, the Victorian Department of Innovation, Industry and Regional Development, and the Victorian Department of Primary Industries.</t>
  </si>
  <si>
    <t>SPRINGER</t>
  </si>
  <si>
    <t>DORDRECHT</t>
  </si>
  <si>
    <t>PO BOX 17, 3300 AA DORDRECHT, NETHERLANDS</t>
  </si>
  <si>
    <t>978-1-4020-6634-4</t>
  </si>
  <si>
    <t>+</t>
  </si>
  <si>
    <t>10.1007/978-1-4020-6635-1_26</t>
  </si>
  <si>
    <t>Agronomy; Biotechnology &amp; Applied Microbiology</t>
  </si>
  <si>
    <t>Agriculture; Biotechnology &amp; Applied Microbiology</t>
  </si>
  <si>
    <t>BHG56</t>
  </si>
  <si>
    <t>WOS:000252961700026</t>
  </si>
  <si>
    <t>Paredes, C; De la Vega, R; Pérez-López, R; Giner-Robles, JL; Martínez-Díaz, JJ</t>
  </si>
  <si>
    <t>Paredes, C.; De la Vega, R.; Perez-Lopez, R.; Giner-Robles, J. L.; Martinez-Diaz, J. J.</t>
  </si>
  <si>
    <t>Fractal descomposition on morphotectonic subdomains of the morphologic lineaments map in the Deception Island (South Shetland, Antarctica)</t>
  </si>
  <si>
    <t>BOLETIN GEOLOGICO Y MINERO</t>
  </si>
  <si>
    <t>Spanish</t>
  </si>
  <si>
    <t>The Deception Island (Archipelago of the Shetland of the South, Antartida) is an active seismo-volcanic area in the Antarctic continent. The last and recent eruptive period in 1967, 1969, 1970, and the high frequency of low magnitude earthquakes demonstrate it. The island is in a complex geodynamic setting that establishes SO-NE and NNO-SSE the more important directions of tectonic control, however is not known how the complex geometric organization of fracture networks and faults affects in the distribution of the volcanism and the seismicity in the island. In order to study such effect, in this work a 1: 25000 map of the morphologic lineaments is prepared, from a bibliographical synthesis, morphometric analysis of the relief and aerial image processing. The result is validated by means of comparison with a fracturation model of the island. In order to find an structure in the lineament patterns on this map their fractal aggregation and occurrence have been analyzed. The aggregation has been characterized according to a model of Levy-Lee with exponent D, detecting three behaviours in the azimuthal distribution of the fractal dimension: D &lt; 1,5, D = 1,5, and D &gt; 1.5, that allow to differentiate six sectors on the island. The space occupation of the fractures has been characterized by means of the estimation of the fractal covering dimension Do which allowed to distinguish the areas in which these tend to distribute uniformly (greater values of Do = 1,62 in NE of the island) or clustered (lower values of Do = 1,39 in zone SW). The joint evaluation of geographic disposition of the zones with similar fractal aggregation and occurrence characteristics has allowed establishing a subdivision in zones where the morphology of the lineament patterns bucket of similar way. The comparison of this zoning with the volcanism typology and/or recent activity allows to establish a possible relation between the type of volcanic activity and the complexity of the pattern in which it happens.</t>
  </si>
  <si>
    <t>[Paredes, C.] Univ Politecn Madrid, ETSI Minas, Dept Matemat Aplicada &amp; Metodos Informat, Rios Rosas 21, Madrid 28003, Spain; [De la Vega, R.] Univ Politecn Madrid, ETSI Minas, Dept Explotac Recursos Minerales &amp; Obras Subterra, Madrid 28003, Spain; [Perez-Lopez, R.; Giner-Robles, J. L.] Univ San Pablo CEU, Fac Farm, Dept Ciencias Ambientales &amp; Recursos Nat, Madrid 28668, Spain; [Martinez-Diaz, J. J.] Univ Complutense Madrid, Fac Ciencias Geol, Dept Geodinam, E-28040 Madrid, Spain</t>
  </si>
  <si>
    <t>Universidad Politecnica de Madrid; Universidad Politecnica de Madrid; San Pablo CEU University; Complutense University of Madrid</t>
  </si>
  <si>
    <t>Paredes, C (corresponding author), Univ Politecn Madrid, ETSI Minas, Dept Matemat Aplicada &amp; Metodos Informat, Rios Rosas 21, Madrid 28003, Spain.</t>
  </si>
  <si>
    <t>cparedes@dmami.upm.es; rogelio.delavega@upm.es; rperez.fcex@ceu.es; jlginer@fcex.ceu.es; jmdiaz@geo.ucm.es</t>
  </si>
  <si>
    <t>Martinez-Diaz, Jose/M-5129-2019; Silva, Pablo G./ABG-7664-2020; de la Vega-Panizo, Rogelio/J-8553-2012; paredes, carlos/L-7090-2014; Perez, Raul/P-3485-2014; Giner-Robles, Jorge L./H-5063-2011</t>
  </si>
  <si>
    <t>Martinez-Diaz, Jose/0000-0003-4846-0279; Silva, Pablo G./0000-0003-1470-292X; de la Vega-Panizo, Rogelio/0000-0003-4621-7304; paredes, carlos/0000-0001-9580-2679; Perez, Raul/0000-0002-9132-4806; Giner-Robles, Jorge L./0000-0002-1507-4796</t>
  </si>
  <si>
    <t>INST GEOLOGICA MINERO ESPANA</t>
  </si>
  <si>
    <t>MADRID</t>
  </si>
  <si>
    <t>MUSEO GEOMINERO, RIOS ROSAS, NO 23, MADRID, 28003, SPAIN</t>
  </si>
  <si>
    <t>0366-0176</t>
  </si>
  <si>
    <t>2253-6167</t>
  </si>
  <si>
    <t>BOL GEOL MIN</t>
  </si>
  <si>
    <t>Bol. Geol. Min.</t>
  </si>
  <si>
    <t>Geology</t>
  </si>
  <si>
    <t>Emerging Sources Citation Index (ESCI)</t>
  </si>
  <si>
    <t>V9I7L</t>
  </si>
  <si>
    <t>WOS:000422348800002</t>
  </si>
  <si>
    <t>Atkins, CB; Dickinson, WW</t>
  </si>
  <si>
    <t>Atkins, Cliff B.; Dickinson, Warren W.</t>
  </si>
  <si>
    <t>Landscape modification by meltwater channels at margins of cold-based glaciers, Dry Valleys, Antarctica</t>
  </si>
  <si>
    <t>BOREAS</t>
  </si>
  <si>
    <t>SUB-FREEZING TEMPERATURES; VICTORIA VALLEY; ICE SHEETS; BASAL ICE; PRESERVATION; DEFORMATION; GLACIATION; LAND; BEHAVIOR; CLIMATE</t>
  </si>
  <si>
    <t>This article describes distinctive lateral meltwater channels at the margins of low-elevation cold-based glaciers in the Dry Valleys. The channels significantly modify the ground surface and indicate that cold-based glaciers can be active geomorphic agents. Summer meltwater from the glacier surface flows over ice-aprons and erodes into the frozen ground creating channels up to 3 in deep and 10 m wide adjacent to unmodified ground that is protected beneath the glacier itself. Rapid fluvial excavation in the channels leads to undercutting and collapse of channel walls. which is capable of overturning large boulders. During glacial retreat, a succession of channels is incised into newly exposed ground creating a distinctive series of nested lateral channels and ridges. These represent the most obvious and persistent geomorphological signature of cold-based glacier activity in the region. Cold-based glaciers may advance and retreat over the same area many times without necessarily destroying older features, thereby creating a complex series of channels, deposits and remnant surfaces with a disordered chronology. Recognizing the role of cold-based glaciers and their meltwater channels on landscape evolution is critical for interpreting the timing and style of glacial events in the Antarctic.</t>
  </si>
  <si>
    <t>Victoria Univ Wellington, Sch Earth Sci, Antarct Res Ctr, Wellington, New Zealand</t>
  </si>
  <si>
    <t>Victoria University Wellington</t>
  </si>
  <si>
    <t>Atkins, CB (corresponding author), Victoria Univ Wellington, Sch Earth Sci, Antarct Res Ctr, Wellington, New Zealand.</t>
  </si>
  <si>
    <t>Cliff.Atkins@gmail.com; Warren.Dickinson@uuw.ac.nz</t>
  </si>
  <si>
    <t>Atkins, cliff B/E-9458-2011</t>
  </si>
  <si>
    <t>Atkins, C/0000-0002-6513-6924</t>
  </si>
  <si>
    <t>0300-9483</t>
  </si>
  <si>
    <t>1502-3885</t>
  </si>
  <si>
    <t>Boreas</t>
  </si>
  <si>
    <t>JAN</t>
  </si>
  <si>
    <t>10.1080/03009480600827306</t>
  </si>
  <si>
    <t>Geography, Physical; Geosciences, Multidisciplinary</t>
  </si>
  <si>
    <t>Physical Geography; Geology</t>
  </si>
  <si>
    <t>135IZ</t>
  </si>
  <si>
    <t>WOS:000244148600004</t>
  </si>
  <si>
    <t>Witter, JB; Self, S</t>
  </si>
  <si>
    <t>Witter, J. B.; Self, S.</t>
  </si>
  <si>
    <t>The Kuwae (Vanuatu) eruption of AD 1452: potential magnitude and volatile release</t>
  </si>
  <si>
    <t>BULLETIN OF VOLCANOLOGY</t>
  </si>
  <si>
    <t>volatile emissions; caldera-forming eruption; vanuatu; sulfate aerosols; ice cores; Kuwae; fifteenth century</t>
  </si>
  <si>
    <t>VOLCANIC-ERUPTIONS; EXPLOSIVE VOLCANISM; BASALTIC ANDESITE; MOUNT-PINATUBO; EXSOLVED GAS; SULFUR; ARC; CHLORINE; CALDERA; ORIGIN</t>
  </si>
  <si>
    <t>Sometime during AD 1452, according to new evidence, a large-magnitude, initially phreatomagmatic eruption, destroyed the island of Kuwae (16.83 degrees S, 168.54 degrees E), located in the present-day Republic of Vanuatu. It created a 12 x 6-km submarine caldera composed of two adjacent basins. Based on estimates of caldera volume, between 30 and 60 km(3) DRE of dacite magma was ejected as pyroclastic flow and fall deposits during this event. Annual layers of ice dating from the period AD 1450-1460 contain acidity peaks representing fallout of sulfuric acid onto both the Greenland and Antarctic ice caps. These acidity peaks have been attributed by others to the sedimentation of H2SO4 aerosols that originated from sulfur degassing during the Kuwae eruption. Improved dating techniques and new data from nineteen ice cores reveal a single acidity peak attributed to Kuwae lasting from 1453 to 1457. In this study, we present new electron microprobe analyses of the S, Cl, and F contents of matrix glasses and glass inclusions in phenocrysts from tephra ejected during the Kuwae eruption. We establish that the Kuwae event did indeed yield a large release of sulfur gases. From our glass inclusion data and analysis, we calculate that the total atmospheric aerosol loading from the 1452 Kuwae eruption was &gt;&gt; 100 Tg H2SO4. Much of the volatile mass released during the eruption was probably contained in a separate, volatile-rich, fluid phase within the pre-eruptive Kuwae magma body. Comparing the volatile release of the Kuwae eruption with other large-magnitude eruptions, places Kuwae as the greatest sulfuric acid aerosol producer in the last seven centuries, larger even than sulfur emissions from the eruption of Tambora (Indonesia) in 1815, and possibly Laki (Iceland) in 1783. The severe and unusual climatic effects reported in the mid- to late-1450s were likely caused by the Kuwae eruption.</t>
  </si>
  <si>
    <t>Univ Hawaii Manoa, Hawaii Inst Geophys &amp; Planetol, Honolulu, HI 96822 USA; Open Univ, Dept Earth Sci, Milton Keynes MK7 6AA, Bucks, England</t>
  </si>
  <si>
    <t>University of Hawaii System; University of Hawaii Manoa; Open University - UK</t>
  </si>
  <si>
    <t>Witter, JB (corresponding author), Univ Hawaii Manoa, Hawaii Inst Geophys &amp; Planetol, 1680 EW Rd,POST 504, Honolulu, HI 96822 USA.</t>
  </si>
  <si>
    <t>witt_98103@yahoo.com; stephen.self@open.ac.uk</t>
  </si>
  <si>
    <t>NEW YORK</t>
  </si>
  <si>
    <t>ONE NEW YORK PLAZA, SUITE 4600, NEW YORK, NY, UNITED STATES</t>
  </si>
  <si>
    <t>0258-8900</t>
  </si>
  <si>
    <t>1432-0819</t>
  </si>
  <si>
    <t>B VOLCANOL</t>
  </si>
  <si>
    <t>Bull. Volcanol.</t>
  </si>
  <si>
    <t>10.1007/s00445-006-0075-4</t>
  </si>
  <si>
    <t>Geosciences, Multidisciplinary</t>
  </si>
  <si>
    <t>131WY</t>
  </si>
  <si>
    <t>WOS:000243904000005</t>
  </si>
  <si>
    <t>Rawlins, K</t>
  </si>
  <si>
    <t>Tripathi, SM; Breedon, RE</t>
  </si>
  <si>
    <t>Rawlins, K.</t>
  </si>
  <si>
    <t>IceCube Collaboration</t>
  </si>
  <si>
    <t>AMANDA and IceCube: news and neutrino analyses</t>
  </si>
  <si>
    <t>C2CR07: COLLIDERS TO COSMIC RAYS</t>
  </si>
  <si>
    <t>AIP Conference Proceedings</t>
  </si>
  <si>
    <t>2nd Conference on Colliders to Cosmic Rays</t>
  </si>
  <si>
    <t>FEB 25-MAR 01, 2007</t>
  </si>
  <si>
    <t>Lake Tahoe, CA</t>
  </si>
  <si>
    <t>NEUTRALINO ANNIHILATIONS; MUON FLUX; LIMITS</t>
  </si>
  <si>
    <t>IceCube is a kilometer-cubed-scale neutrino detector currently under construction in the Antarctic ice cap near the South Pole. To date, 22 strings have been deployed. In 2006, 9 strings had been deployed, and data from these strings (the IC-9 detector), have been analyzed to search for neutrinos. IceCube's predecessor, AMANDA, has been taking data for several years. In this paper, we review a selection of recent results from both AMANDA and IceCube.</t>
  </si>
  <si>
    <t>Univ Alaska Anchorage, Anchorage, AK 99508 USA</t>
  </si>
  <si>
    <t>University of Alaska System; University of Alaska Anchorage</t>
  </si>
  <si>
    <t>Rawlins, K (corresponding author), Univ Alaska Anchorage, 3211 Providence Dr, Anchorage, AK 99508 USA.</t>
  </si>
  <si>
    <t>Sánchez, Juan Antonio Aguilar/H-4467-2015</t>
  </si>
  <si>
    <t>AMER INST PHYSICS</t>
  </si>
  <si>
    <t>MELVILLE</t>
  </si>
  <si>
    <t>2 HUNTINGTON QUADRANGLE, STE 1NO1, MELVILLE, NY 11747-4501 USA</t>
  </si>
  <si>
    <t>0094-243X</t>
  </si>
  <si>
    <t>978-0-7354-0438-0</t>
  </si>
  <si>
    <t>AIP CONF PROC</t>
  </si>
  <si>
    <t>Physics, Multidisciplinary; Physics, Particles &amp; Fields</t>
  </si>
  <si>
    <t>BGR41</t>
  </si>
  <si>
    <t>WOS:000250106600009</t>
  </si>
  <si>
    <t>Tollit, DJ; Heaslip, SG; Barrick, RL; Trites, AW</t>
  </si>
  <si>
    <t>Tollit, D. J.; Heaslip, S. G.; Barrick, R. L.; Trites, A. W.</t>
  </si>
  <si>
    <t>Impact of diet-index selection and the digestion of prey hard remains on determining the diet of the Steller sea lion (Eumetopias jubatus)</t>
  </si>
  <si>
    <t>CANADIAN JOURNAL OF ZOOLOGY-REVUE CANADIENNE DE ZOOLOGIE</t>
  </si>
  <si>
    <t>POLLOCK THERAGRA-CHAKOGRAMMA; CAPTIVE-FEEDING TRIALS; ANTARCTIC FUR SEALS; FECAL SAMPLES; PHOCA-VITULINA; HARBOR SEAL; SKELETAL STRUCTURES; WESTERN STOCK; SCAT ANALYSIS; ALASKA</t>
  </si>
  <si>
    <t>Nine prey species (n = 7431) were fed to four captive female Steller sea lions (Eumetopias jubatus (Schreber, 1776)) in I I feeding trials over 75 days to investigate the effectiveness of different methods used to determine diet from prey hard remains. Trials aimed to replicate short (1-2 days) and long feeding bouts, and consisted of single species and mixed daily diets. Overall, 25.2% +/- 22.2% (mean +/- SD, range 0%-83%) otoliths were recovered, but recovery rates varied by species (ANOVA, P = 0.01) and were linearly related to otolith robustness (R(2) = 0.88). Squid beaks were recovered at higher frequencies (mean 96%) than the otoliths of all species. Enumerating both non-otolith skeletal structures and otoliths (together termed bones) increased species recovery rates by twofold, on average (P &lt; 0.001), with increases up to 2.5 times for Pacific herring (Clupea pallasii Valenciennes in Cuvier and Valenciennes, 1847) and 3-4 times for salmonids. Using bones reduced interspecific differences (P = 0.08), but recovery varied among sea lions. Bones were distributed over more scats per meal (mean 2.9 scats, range 0-5) than otoliths (mean 1.9 scats, range 0-4). In three different 15-day mixed diet trials, biomass reconstruction (BR) indices performed better than frequency of occurrence indices in predicting diet fed. Applying our experimentally derived numerical correction factors (to account for species differences in complete prey digestion) further improved BR estimates, resulting in all 12 unweighted comparisons within 5% (for otoliths) and 12% (for bones) of the actual diet fed.</t>
  </si>
  <si>
    <t>Univ British Columbia, AERL, Marine Mammal Res Unit, Fisheries Ctr, Vancouver, BC V6T 1Z4, Canada</t>
  </si>
  <si>
    <t>University of British Columbia</t>
  </si>
  <si>
    <t>Tollit, DJ (corresponding author), Univ British Columbia, AERL, Marine Mammal Res Unit, Fisheries Ctr, Room 247,2202 Main Mall, Vancouver, BC V6T 1Z4, Canada.</t>
  </si>
  <si>
    <t>tollit@zoology.ubc.ca</t>
  </si>
  <si>
    <t>Heaslip, Susan G/I-9137-2012; Trites, Andrew/K-5648-2012</t>
  </si>
  <si>
    <t>Trites, Andrew/0000-0003-0342-5322</t>
  </si>
  <si>
    <t>CANADIAN SCIENCE PUBLISHING, NRC RESEARCH PRESS</t>
  </si>
  <si>
    <t>OTTAWA</t>
  </si>
  <si>
    <t>1200 MONTREAL ROAD, BUILDING M-55, OTTAWA, ON K1A 0R6, CANADA</t>
  </si>
  <si>
    <t>0008-4301</t>
  </si>
  <si>
    <t>CAN J ZOOL</t>
  </si>
  <si>
    <t>Can. J. Zool.-Rev. Can. Zool.</t>
  </si>
  <si>
    <t>10.1139/Z06-174</t>
  </si>
  <si>
    <t>149WK</t>
  </si>
  <si>
    <t>WOS:000245177400001</t>
  </si>
  <si>
    <t>Hill, SL; Reid, K; Thorpe, SE; Hinke, J; Watters, GM</t>
  </si>
  <si>
    <t>Hill, S. L.; Reid, K.; Thorpe, S. E.; Hinke, J.; Watters, G. M.</t>
  </si>
  <si>
    <t>A compilation of parameters for ecosystem dynamics models of the Scotia Sea-Antarctic Peninsula region</t>
  </si>
  <si>
    <t>CCAMLR SCIENCE</t>
  </si>
  <si>
    <t>small-scale management unit; Scotia Sea; krill-predator-fishery model; life history; krill consumption; ecosystem model; CCAMLR</t>
  </si>
  <si>
    <t>SOUTH SHETLAND ISLANDS; FUR SEALS; KRILL</t>
  </si>
  <si>
    <t>Expansion of the krill fishery in. the Scotia Sea-Antarctic Peninsula region beyond the current operational catch limit requires the development and assessment of methods for subdividing the precautionary catch limit amongst smaller spatial units. This paper compiles parameters for use in the ecosystem dynamic models that are needed to assess these methods. These parameters include life history and krill consumption parameters for the fish, whale, penguin and seal species that feed on krill in this region. Maximum krill transport rates are also derived from the OCCAM global ocean circulation model. This parameter set, like most others, is associated with considerable uncertainty, which must be taken into account when it is used. The sources, assumptions and calculations at every stage of the compilation process are therefore detailed, and plausible limits for parameter values are provided where possible. The results suggest that fish are the major krill consumers in all SSMUs, with perciform fish taking as much krill as whales, penguins and fur seals combined and myctophid fish taking double that amount. However, estimates of krill consumption per unit predator biomass suggest that this is an order of magnitude higher in penguins and seals than in whales and fish.</t>
  </si>
  <si>
    <t>British Antarctic Survey, NERC, Cambridge CB3 0ET, England; SW Fisheries Sci Ctr, NOAA Fisheries, Antarctic Ecosyst Res Div, La Jolla, CA 92037 USA; SW Fisheries Sci Ctr, NOAA Fisheries, Protected Resources Div, Pacific Grove, CA 93950 USA</t>
  </si>
  <si>
    <t>UK Research &amp; Innovation (UKRI); Natural Environment Research Council (NERC); NERC British Antarctic Survey; National Oceanic Atmospheric Admin (NOAA) - USA; National Oceanic Atmospheric Admin (NOAA) - USA</t>
  </si>
  <si>
    <t>Hill, SL (corresponding author), British Antarctic Survey, NERC, High Cross,Madingley Rd, Cambridge CB3 0ET, England.</t>
  </si>
  <si>
    <t>sih@bas.ac.uk</t>
  </si>
  <si>
    <t>Simeon, Hill L/B-2307-2008; Watters, George/HPE-2184-2023; , Jefferson/AAG-1702-2021</t>
  </si>
  <si>
    <t>Watters, George/0000-0002-6989-1273; , Jefferson/0000-0002-3600-1414; Thorpe, Sally/0000-0002-5193-6955</t>
  </si>
  <si>
    <t>C C A M L R TI</t>
  </si>
  <si>
    <t>NORTH HOBART</t>
  </si>
  <si>
    <t>PO BOX 213, NORTH HOBART, TAS 7002, AUSTRALIA</t>
  </si>
  <si>
    <t>1023-4063</t>
  </si>
  <si>
    <t>CCAMLR SCI</t>
  </si>
  <si>
    <t>CCAMLR Sci.</t>
  </si>
  <si>
    <t>Fisheries</t>
  </si>
  <si>
    <t>232TV</t>
  </si>
  <si>
    <t>WOS:000251043400001</t>
  </si>
  <si>
    <t>Saunders, RA; Brierley, AS; Watkins, JL; Reid, K; Murphy, EJ; Enderlein, P; Bone, DG</t>
  </si>
  <si>
    <t>Saunders, R. A.; Brierley, A. S.; Watkins, J. L.; Reid, K.; Murphy, E. J.; Enderlein, P.; Bone, D. G.</t>
  </si>
  <si>
    <t>Intra-annual variability in the density of Antarctic krill (Euphausia superba) at south Georgia, 2002-2005:: Within-year variation provides a new framework for interpreting previous 'annual' estimates of krill density</t>
  </si>
  <si>
    <t>Antarctic krill; moorings; intra-annual variability; South Georgia; CCAMLR</t>
  </si>
  <si>
    <t>DOPPLER CURRENT PROFILER; TARGET-STRENGTH; INTERANNUAL VARIABILITY; TEMPORAL VARIABILITY; CHANGING ENVIRONMENT; ACOUSTIC SURVEYS; FISH STOCKS; ABUNDANCE; SEA; ECOSYSTEM</t>
  </si>
  <si>
    <t>Upward-looking acoustic Doppler current profilers (300 kHz) and echo sounders (125 kHz) were deployed on moorings on- and off-shelf to the northwest of South Georgia between 14 October 2002 and 29 December 2005 to measure density of Antarctic krill and environmental parameters continuously. A distinct seasonal pattern in krill density, recurring consistently over all three years, was detected. Krill densities in winter were predominantly low (mean = 18.7 g m(-2), SD = 24.3), but had risen substantially by summer in each year (mean = 89.5 g m(-2), SD = 64.2). A sinusoidal regression model (period = 52 weeks) with time as the independent variable explained 64% of the observed week-to-week variation. Estimates of krill density from moored instruments were not statistically different (P &gt; 0.05) from estimates derived from standard ship-based krill surveys in adjacent time periods, suggesting that the point estimates from moored instruments were representative of krill density in a wider spatial context (ship surveys cover c. 100 x 100 km). Data from moored instruments were used to explore whether high-frequency temporal variation (i.e. within-year) could have led to the perceived between-year variation in krill density arising from previous summer surveys in the South Georgia western core box region between 1990 and 2005. Comparison of these 'snap-shot' ship survey estimates with the observed pattern of within-year variability showed that some of the apparent 'year-to-year' variation could simply be attributed to sampling on different dates of the year (e.g. November cf. February). However, there were some survey estimates that were significantly different (P &lt; 0.01) from the regression-predicted within-year variation. Years that stand out for markedly low krill density (i.e. densities below the range expected due to intra-annual variation) were 1993/94, 1998/99 and 1999/2000. Moored instruments provide valuable data that could be important for ecosystem-based management at South Georgia because, for example, they will enable predator-prey functional responses to be explored there for the first time at appropriate temporal scales, and will enable hypotheses relating variation in krill abundance to physical oceanographic variability to be tested.</t>
  </si>
  <si>
    <t>Univ St Andrews, Gatty Marine Lab, St Andrews KY16 8LB, Fife, Scotland; British Antarctic Survey, Cambridge CB3 0ET, England</t>
  </si>
  <si>
    <t>University of St Andrews; UK Research &amp; Innovation (UKRI); Natural Environment Research Council (NERC); NERC British Antarctic Survey</t>
  </si>
  <si>
    <t>Saunders, RA (corresponding author), Univ St Andrews, Gatty Marine Lab, St Andrews KY16 8LB, Fife, Scotland.</t>
  </si>
  <si>
    <t>ras19@st-andrews.ac.uk</t>
  </si>
  <si>
    <t>murphy, eugene/GZL-1620-2022; Brierley, Andrew/G-8019-2011</t>
  </si>
  <si>
    <t>Brierley, Andrew/0000-0002-6438-6892</t>
  </si>
  <si>
    <t>WOS:000251043400002</t>
  </si>
  <si>
    <t>Candy, SG; Constable, AJ; Lamb, T; Williams, R</t>
  </si>
  <si>
    <t>Candy, S. G.; Constable, A. J.; Lamb, T.; Williams, R.</t>
  </si>
  <si>
    <t>A von bertalanffy growth model for toothfish at heard island fitted to length-at-age data and compared to observed growth from mark-recapture studies</t>
  </si>
  <si>
    <t>response-biased sampling; variable-probability sampling; maximum likelihood; Fabens model; young-age adjustment; CCAMLR</t>
  </si>
  <si>
    <t>GEAR SELECTIVITY; PARAMETERS; REGRESSION; SAMPLES; SIZE; BIAS</t>
  </si>
  <si>
    <t>Length-at-age data for Patagonian toothfish (Dissostichus eleginoides) at Heard Island (Division 58.5.2) were fitted using a von Bertalanffy. (VB) growth model taking into account response-biased sampling of fish that were aged. Subsampling of random length-frequency (LF) data used to obtain the samples of fish for ageing used length-bin sampling involving a fixed sample size per bin. Estimation of the VB parameters used a definition of the likelihood function based on variable probability (VP) sampling due to the pre-specified length-dependent selectivity function for trawl fishing and the additional effect of length-bin sampling on sampling probabilities. The VB curve fitted to the length-at-age data, ignoring VP sampling and assuming normal errors with constant coefficient of variation using iteratively weighted least squares (IWLS), predicted substantially lower mean length-at-age for older ages compared to the VB curve fitted using VP maximum likelihood (MLP) with length-bin relative probabilities defined using fishing selectivity alone. This was due to the feature of the selectivity function of a sharp decline from 'full' selection at 1000 mm length down to 1% selection for a length of 1600 mm. When length-bin sampling frequencies were also included in defining relative probabilities, the VP maximum likelihood (MLPLB) and IWLS-estimated curves were more similar.</t>
  </si>
  <si>
    <t>Dept Environm &amp; Water Res, Australian Antarctic Div, Kingston, Tas 7050, Australia</t>
  </si>
  <si>
    <t>Australian Antarctic Division</t>
  </si>
  <si>
    <t>Candy, SG (corresponding author), Dept Environm &amp; Water Res, Australian Antarctic Div, 203 Channel Highway, Kingston, Tas 7050, Australia.</t>
  </si>
  <si>
    <t>steve.candy@aad.gov.au</t>
  </si>
  <si>
    <t>WOS:000251043400003</t>
  </si>
  <si>
    <t>Quirrenbach, A</t>
  </si>
  <si>
    <t>Ho, LC; Wang, JM</t>
  </si>
  <si>
    <t>Quirrenbach, Andreas</t>
  </si>
  <si>
    <t>AGN research with future interferometric Arrays</t>
  </si>
  <si>
    <t>CENTRAL ENGINE OF ACTIVE GALACTIC NUCLEI</t>
  </si>
  <si>
    <t>Astronomical Society of the Pacific Conference Series</t>
  </si>
  <si>
    <t>Workshop on Central Engine of Active Galactic Nuclei</t>
  </si>
  <si>
    <t>OCT 16-21, 2006</t>
  </si>
  <si>
    <t>Xi an Jiaotong Univ, Xi an, PEOPLES R CHINA</t>
  </si>
  <si>
    <t>Xi an Jiaotong Univ</t>
  </si>
  <si>
    <t>HIGH-ANTARCTIC PLATEAU; GALACTIC-CENTER; OPTICAL INTERFEROMETER; DOME-C; NUCLEUS; EMISSION; NGC-1068</t>
  </si>
  <si>
    <t>A large optical interferometer with kilometric baselines could image and perform imaging spectroscopy of active galactic nuclei with sub-milli-arcsecond resolution. This would enable detailed studies of nuclear stellar clusters, black holes, jets, and broad-line regions. Advances in telescope technology and fiber optics expected for the next decade may bring the cost of a large synthesis array into a range that would be affordable as an international project.</t>
  </si>
  <si>
    <t>[Quirrenbach, Andreas] ZAH, Landessternwarte Konigstuhl 12, D-69117 Heidelberg, Germany</t>
  </si>
  <si>
    <t>Ruprecht Karls University Heidelberg</t>
  </si>
  <si>
    <t>Quirrenbach, A (corresponding author), ZAH, Landessternwarte Konigstuhl 12, D-69117 Heidelberg, Germany.</t>
  </si>
  <si>
    <t>Quirrenbach, Andreas/0000-0002-3302-1962</t>
  </si>
  <si>
    <t>ASTRONOMICAL SOC PACIFIC</t>
  </si>
  <si>
    <t>SAN FRANCISCO</t>
  </si>
  <si>
    <t>390 ASHTON AVE, SAN FRANCISCO, CA 94112 USA</t>
  </si>
  <si>
    <t>978-1-58381-307-2</t>
  </si>
  <si>
    <t>ASTR SOC P</t>
  </si>
  <si>
    <t>Astronomy &amp; Astrophysics</t>
  </si>
  <si>
    <t>BGZ17</t>
  </si>
  <si>
    <t>WOS:000251450500176</t>
  </si>
  <si>
    <t>Canapa, A; Barucca, M; Gorbi, S; Benedetti, M; Zucchi, S; Biscotti, MA; Olmo, E; Nigro, M; Regoli, F</t>
  </si>
  <si>
    <t>Canapa, Adriana; Barucca, Marco; Gorbi, Stefania; Benedetti, Maura; Zucchi, Sara; Biscotti, Maria Assunta; Olmo, Ettore; Nigro, Marco; Regoli, Francesco</t>
  </si>
  <si>
    <t>Vitellogenin gene expression in males of the Antarctic fish Trematomus bernacchii from Terra Nova Bay (Ross Sea):: A role for environmental cadmium?</t>
  </si>
  <si>
    <t>CHEMOSPHERE</t>
  </si>
  <si>
    <t>Antarctica; Trematomus bernacchii; bioindicators; biomarkers; endocrine disruptors</t>
  </si>
  <si>
    <t>REPRODUCTIVE ENDOCRINE FUNCTION; SEWAGE-TREATMENT PLANTS; MEDAKA ORYZIAS-LATIPES; ESTROGEN-RECEPTOR; ATLANTIC CROAKER; ADAMUSSIUM-COLBECKI; SEASONAL-VARIATIONS; HUMAN HEALTH; IN-VIVO; EXPOSURE</t>
  </si>
  <si>
    <t>Synthesis of vitellogenin (VTG) in male fish is a widely recognized effect for estrogenic pollutants in temperate environments, while similar investigations are still lacking for Antarctic organisms. In this study, a preliminary characterization of vitellogenin gene expression was performed by RT-PCR in the key species Trematomus bernacchii sampled in different phases of reproductive cycle and food availability. Females exhibited the highest gene expression during the spawning period, but VTG mRNA was always detected also in males; a significant increase of gene expression was observed both in males and females at the end of the feeding season. These results were not fully supported by a differential exposure to phyto- or anthropogenic estrogens during the planctonic cycle; on the other side, the endocrine properties of cadmium, naturally elevated in Terra Nova Bay and increasing during algal bloom, would explain both the presence of VTG mRNA in males and the seasonal changes of gene induction. Laboratory exposures did not reveal short-term estrogenic effects of cadmium while an elevated responsiveness of T. bernacchii was observed toward a classical estrogenic receptor agonist (17 beta-estradiol). Different hypotheses were considered to suggest delayed endocrine effects of cadmium, including the early interaction with other cellular detoxification systems or alterations at multiple levels of the hypothalamus-pituitary-gonad-liver axis. Although molecular mechanisms of VTG gene expression in males of T bernacchii remain unclear, obtained results provide interesting insights on this species which should stimulate future research activities. (c) 2006 Elsevier Ltd. All rights reserved.</t>
  </si>
  <si>
    <t>Univ Politecn Marche, Ist Biol &amp; Genet, Ancona, Italy; Univ Pisa, Dipartimento Morfol Umana &amp; Biol Applicata, Pisa, Italy</t>
  </si>
  <si>
    <t>Marche Polytechnic University; University of Pisa</t>
  </si>
  <si>
    <t>Regoli, F (corresponding author), Univ Politecn Marche, Ist Biol &amp; Genet, Ancona, Italy.</t>
  </si>
  <si>
    <t>f.regoli@univpm.it</t>
  </si>
  <si>
    <t>Benedetti, Maura/K-5399-2016; gorbi, stefania/K-5662-2016; Regoli, Francesco/K-2719-2018</t>
  </si>
  <si>
    <t>Benedetti, Maura/0000-0003-0803-3846; gorbi, stefania/0000-0002-4232-2652; Regoli, Francesco/0000-0001-6084-6188</t>
  </si>
  <si>
    <t>PERGAMON-ELSEVIER SCIENCE LTD</t>
  </si>
  <si>
    <t>OXFORD</t>
  </si>
  <si>
    <t>THE BOULEVARD, LANGFORD LANE, KIDLINGTON, OXFORD OX5 1GB, ENGLAND</t>
  </si>
  <si>
    <t>0045-6535</t>
  </si>
  <si>
    <t>1879-1298</t>
  </si>
  <si>
    <t>Chemosphere</t>
  </si>
  <si>
    <t>10.1016/j.chemosphere.2006.07.026</t>
  </si>
  <si>
    <t>134DL</t>
  </si>
  <si>
    <t>WOS:000244062700014</t>
  </si>
  <si>
    <t>Li, YF; Yao, TD; Li, ZQ; Zhen, L; Liu, YP; Duan, JP</t>
  </si>
  <si>
    <t>Li Yue-Fang; Yao Tan-Dong; Li Zhong-Qin; Zhen, Li; Liu Ya-Ping; Duan Jian-Ping</t>
  </si>
  <si>
    <t>Determination of trace elements in snow and ice by double focusing inductively coupled plasma-mass spectrometry</t>
  </si>
  <si>
    <t>CHINESE JOURNAL OF ANALYTICAL CHEMISTRY</t>
  </si>
  <si>
    <t>Chinese</t>
  </si>
  <si>
    <t>trace elements; acid effect; snow and ice; inductively coupled plasma-mass spectrometry</t>
  </si>
  <si>
    <t>ANTARCTIC SNOW; HEAVY-METALS; GREENLAND ICE; POLLUTION; COPPER; RECORD; ROMAN</t>
  </si>
  <si>
    <t>A double focusing inductively coupled plasma spectrometry (ICP-MS) combing with microconcentric-nebulizer was applied to the simultaneous determination of Al, Fe, Mn, Co, Cu, Zn, Sr, Sb, Cs, Ba, Cd, Tl, Pb and Bi in snow and ice in central Asia at the 1 ng/L to 100 mu g/L level. Variation of sensitivity during determination can be calibrated mathematically through monitoring the peak of ArAr. The limits of detection (LOD) of trace elements based on 3 times of standard deviation on 1% HNO3 as blank solution are as follows (ng/L) : Al 40, Mn 6, Fe 40, Co 2. 74, Cu 9. 6, Zn 20, Sr 0. 03, Sb 0. 15, Cs 0. 04, Ba 0. 4, Tl 0. 07, Pb 0. 8 and Bi 0. 05. Measurement repeatabilities of trace elements determined on snow samples from southern Tibetan plateau in terms of RSD were also investigated. The accuracy of the analytical method was verified by the analysis of a certified reference material (SLRS-4, riverine water). The acid effect on the response intensities of trace metals were investigated based on four different nitric acid contents: 0. 5%, 1%, 2% and 4% in samples. The results show that 1% is the appropriate nitric acid (60% Merk Ultrapur HNO3) content in samples while higher response intensities of trace elements can be obtained, as well as considering the large range of concentrations of trace elements in snow and ice samples from central Asia.</t>
  </si>
  <si>
    <t>Chinese Acad Sci, Cold &amp; Arid Reg Environm &amp; Engn Res Inst, Lanzhou 730000, Peoples R China; Chinese Acad Sci, Inst Tibetan Plateau Res, Beijing 100085, Peoples R China</t>
  </si>
  <si>
    <t>Chinese Academy of Sciences; Cold &amp; Arid Regions Environmental &amp; Engineering Research Institute, CAS; Chinese Academy of Sciences; Institute of Tibetan Plateau Research, CAS</t>
  </si>
  <si>
    <t>Li, YF (corresponding author), Chinese Acad Sci, Cold &amp; Arid Reg Environm &amp; Engn Res Inst, Lanzhou 730000, Peoples R China.</t>
  </si>
  <si>
    <t>liyf@lzb.ac.cn</t>
  </si>
  <si>
    <t>ELSEVIER SCIENCE INC</t>
  </si>
  <si>
    <t>360 PARK AVE SOUTH, NEW YORK, NY 10010-1710 USA</t>
  </si>
  <si>
    <t>0253-3820</t>
  </si>
  <si>
    <t>1872-2040</t>
  </si>
  <si>
    <t>CHINESE J ANAL CHEM</t>
  </si>
  <si>
    <t>Chin. J. Anal. Chem.</t>
  </si>
  <si>
    <t>Chemistry, Analytical</t>
  </si>
  <si>
    <t>169PS</t>
  </si>
  <si>
    <t>WOS:000246604700007</t>
  </si>
  <si>
    <t>Yan, HS; Song, GQ; Yang, SY; Li, WB</t>
  </si>
  <si>
    <t>Yan Hua-Sheng; Song Guo-Qiong; Yang Su-Yu; Li Wan-Biao</t>
  </si>
  <si>
    <t>Investigation on evolutive law of geopotential height of two poles and the equator at 500 hPa geopotential height field</t>
  </si>
  <si>
    <t>CHINESE JOURNAL OF GEOPHYSICS-CHINESE EDITION</t>
  </si>
  <si>
    <t>South Pole; North Pole; Equator; geopotential height; westly index</t>
  </si>
  <si>
    <t>VARIABILITY; PACIFIC</t>
  </si>
  <si>
    <t>Analysing the geopotential height data of the South Pole, the Equator, the North Pole and zonal wind at 500 hPa level, we can find their evolutive law and the correlation between one and another. We conclude that Antarctic geopotential height descends and tropic geopotential height ascends and the trend of Arctic geopotential height change is not visible. There are obvious chronological and interannual changes at South Pole, Equator and North Pole. Geopotential height represents anticorrelation between the Antarctic pole region and tropic region. There is no significant correlation between the Arctic pole region and tropic region, so as correlation between Antarctic region and Arctic region. In the process of change, North Pole vibrates after South Pole, tropic region vibrates after pole region, the first change region is the South Pole. Zonal wind at middle and high latitudes ascends significantly and changes chronologically and interannually, zonal wind in the south hemisphere vibrates after geopotential height at the Antarctic region.</t>
  </si>
  <si>
    <t>Yunnan Univ, Dept Atmospher Sci, Kunming 650091, Peoples R China; Peking Univ, Dept Atmospher Sci, Beijing 100871, Peoples R China; Yunnan Meteorol Bur, Kunming 650034, Peoples R China</t>
  </si>
  <si>
    <t>Yunnan University; Peking University</t>
  </si>
  <si>
    <t>Yan, HS (corresponding author), Yunnan Univ, Dept Atmospher Sci, Kunming 650091, Peoples R China.</t>
  </si>
  <si>
    <t>ynkmyhs@163.com</t>
  </si>
  <si>
    <t>xin, li/JCO-3925-2023</t>
  </si>
  <si>
    <t>SCIENCE PRESS</t>
  </si>
  <si>
    <t>BEIJING</t>
  </si>
  <si>
    <t>16 DONGHUANGCHENGGEN NORTH ST, BEIJING 100717, PEOPLES R CHINA</t>
  </si>
  <si>
    <t>0001-5733</t>
  </si>
  <si>
    <t>CHINESE J GEOPHYS-CH</t>
  </si>
  <si>
    <t>Chinese J. Geophys.-Chinese Ed.</t>
  </si>
  <si>
    <t>Geochemistry &amp; Geophysics</t>
  </si>
  <si>
    <t>138BT</t>
  </si>
  <si>
    <t>WOS:000244338300008</t>
  </si>
  <si>
    <t>Zhu, RB; Kong, DM; Sun, LG; Geng, JJ; Wang, XR</t>
  </si>
  <si>
    <t>Zhu RenBin; Kong DeMing; Sun LiGuang; Geng JinJu; Wang XiaoRong</t>
  </si>
  <si>
    <t>The first determination of atmospheric phosphine in Antarctica</t>
  </si>
  <si>
    <t>CHINESE SCIENCE BULLETIN</t>
  </si>
  <si>
    <t>phosphine; Antarctica; Millor Peninsula; atmosphere</t>
  </si>
  <si>
    <t>PHOSPHORUS; TROPOSPHERE; METHANE</t>
  </si>
  <si>
    <t>It is generally thought that phosphine (PH3) Concentrations exist at the low ng/m(3) level during the night and at the pg/m(3) level during daylight in the remote atmosphere of the lower troposphere. The first determination of gaseous PH3 on the Antarctic Millor Peninsula is reported in this paper. No PH3 was detected in the air samples around 10:00 when it was sunny. However, PH3 was found in all the 10:00 air samples when it was cloudy or light snow with the average of 75.3 +/- 28.8 ng/m(3) (n=5). It was also found in nearly all the samples around 22:00 with the average of 87.2 +/- 70.9 ng/m(3) (n=11). Atmospheric PH3 concentrations around 22:00 were generally higher than those around 10:00 in January and they were almost the same in February. In addition, PH3 Concentrations around 22:00 showed a downtrend with the decreasing air temperature, suggesting that light intensity and air temperature had an important effect on atmospheric PH3 concentration. It is very surprising to have found that high concentrations of PH3 exist In the Antarctic atmosphere under the influence of strong UV-radiation and light intensity. The tentative analyses show that dry, cold and very clean atmosphere may be very suitable for the PH3 survival and cause the concentration to increase and accumulate in the local atmosphere. New approaches for the PH3 formation and the process of atmospheric chemistry may exist under such an extreme environment. Atmospheric PH3 may also be from the emissions of local sources.</t>
  </si>
  <si>
    <t>Univ Sci &amp; Technol China, Inst Polar Environm, Hefei 230026, Peoples R China; Nanjing Univ, State Key Lab Pollut Control &amp; Resource Reuse, Nanjing 210093, Peoples R China</t>
  </si>
  <si>
    <t>Chinese Academy of Sciences; University of Science &amp; Technology of China, CAS; Nanjing University</t>
  </si>
  <si>
    <t>Zhu, RB (corresponding author), Univ Sci &amp; Technol China, Inst Polar Environm, Hefei 230026, Peoples R China.</t>
  </si>
  <si>
    <t>zhurb@ustc.edu.cn</t>
  </si>
  <si>
    <t>1001-6538</t>
  </si>
  <si>
    <t>1861-9541</t>
  </si>
  <si>
    <t>CHINESE SCI BULL</t>
  </si>
  <si>
    <t>Chin. Sci. Bull.</t>
  </si>
  <si>
    <t>10.1007/s11434-007-0010-x</t>
  </si>
  <si>
    <t>Multidisciplinary Sciences</t>
  </si>
  <si>
    <t>Science &amp; Technology - Other Topics</t>
  </si>
  <si>
    <t>142BV</t>
  </si>
  <si>
    <t>WOS:000244624600019</t>
  </si>
  <si>
    <t>S</t>
  </si>
  <si>
    <t>Delmonte, B; Petit, JR; Basile-Doelsch, I; Jagoutz, E; Maggi, V</t>
  </si>
  <si>
    <t>Sirocko, F; Claussen, M; Goni, MFS; Litt, T</t>
  </si>
  <si>
    <t>Delmonte, Barbara; Petit, Jean Robert; Basile-Doelsch, Isabelle; Jagoutz, Emil; Maggi, Valter</t>
  </si>
  <si>
    <t>Late Quaternary Interglacials in East Antarctica From Ice-Core Dust Records</t>
  </si>
  <si>
    <t>CLIMATE OF PAST INTERGLACIALS</t>
  </si>
  <si>
    <t>Developments in Quaternary Science</t>
  </si>
  <si>
    <t>EPICA DOME-C; NORTH-ATLANTIC CLIMATE; LAST GLACIAL MAXIMUM; ATMOSPHERIC CIRCULATION; SIZE DISTRIBUTION; ISOTOPIC CONSTRAINTS; SAHARAN DUST; HOLOCENE; VARIABILITY; VOSTOK</t>
  </si>
  <si>
    <t>Aeolian dust records from deep East Antarctic ice cores evidence extremely low dust fluxes during the last five interglacials (10 to 25 times lower than in glacial periods), related to reduced primary production and mobilization on the Southern Hemisphere continents, to changes in atmospheric transport and hydrological cycle. The Sr-Nd isotope fingerprint of aeolian dust in Antarctica suggests a dominant southern South America provenance during Quaternary glacial times, but the first geochemical data for Stage 5.5 and the Holocene presented in this work show significant differences and open the possibility for a different source mixing. Dust-size variability in the EPICA-Dome C ice core suggests shorter transport time for dust or more direct air mass penetration to the site during interglacials with respect to cold periods and a clear multisecular scale mode of atmospheric circulation variability during the Holocene.</t>
  </si>
  <si>
    <t>[Delmonte, Barbara; Petit, Jean Robert] CNRS, LGGE, F-38402 St Martin Dheres, France; [Delmonte, Barbara; Maggi, Valter] Univ Milano Bicocca, DISAT, I-20126 Milan, Italy; [Basile-Doelsch, Isabelle] CNRS, CEREGE, UMR 6635, Europole Mediterraneen Arbois, F-13545 Aix En Provence, France; [Jagoutz, Emil] Max Planck Inst Chem, Kosmochem Dept, D-55020 Mainz, Germany</t>
  </si>
  <si>
    <t>Centre National de la Recherche Scientifique (CNRS); Communaute Universite Grenoble Alpes; Universite Grenoble Alpes (UGA); University of Milano-Bicocca; Universite PSL; College de France; Aix-Marseille Universite; Centre National de la Recherche Scientifique (CNRS); Institut de Recherche pour le Developpement (IRD); Max Planck Society</t>
  </si>
  <si>
    <t>Delmonte, B (corresponding author), CNRS, LGGE, BP96, F-38402 St Martin Dheres, France.</t>
  </si>
  <si>
    <t>Maggi, Valter/AAX-5728-2020; Delmonte, Barbara/L-2555-2015; Basile, Isabelle IBD/B-4173-2010</t>
  </si>
  <si>
    <t>Maggi, Valter/0000-0001-6287-1213; Delmonte, Barbara/0000-0002-9074-2061;</t>
  </si>
  <si>
    <t>ELSEVIER SCIENCE BV</t>
  </si>
  <si>
    <t>AMSTERDAM</t>
  </si>
  <si>
    <t>SARA BURGERHARTSTRAAT 25, PO BOX 211, 1000 AE AMSTERDAM, NETHERLANDS</t>
  </si>
  <si>
    <t>1571-0866</t>
  </si>
  <si>
    <t>978-0-08-046806-8; 978-0-44-452955-8</t>
  </si>
  <si>
    <t>DEV QUATER SCI</t>
  </si>
  <si>
    <t>BCL67</t>
  </si>
  <si>
    <t>WOS:000310639900007</t>
  </si>
  <si>
    <t>Vautravers, MJ; Bianchil, G; Sackleton, NJ</t>
  </si>
  <si>
    <t>Vautravers, M. J.; Bianchil, G.; Sackleton, N. J.</t>
  </si>
  <si>
    <t>Subtropical NW Atlantic Surface Water Variability During the Last Interglacial</t>
  </si>
  <si>
    <t>sea-surface temperature; last interglacial; climate variability; Gulf Stream; planktonic foraminifera; stable isotopes</t>
  </si>
  <si>
    <t>NORTH-ATLANTIC; PLANKTONIC-FORAMINIFERA; THERMOHALINE CIRCULATION; CLIMATE VARIABILITY; OCEAN CIRCULATION; SEASONAL-CHANGES; HEAT-FLUX; ICE; SEA; INSTABILITY</t>
  </si>
  <si>
    <t>A core from the western end of the subtropical gyre (ODP Leg 172 Site 1060, 31 degrees 45N, 74 degrees 24W, 3400 m water depth) in close proximity with the Gulf Stream was studied at high resolution to clarify the surface hydrology changes involved during the last interglacial, their relations and impact over deep circulation as well as continental climate as recorded by pollen. The occurrence of high-frequency cold events at subtropical latitudes is also examined. For the time span from 134 to 108 kyr, eight distinct periods can be recognised on the basis of planktonic foraminifera assemblages. These faunal changes are related mainly to changes in the summer stratification tracing the Gulf Stream current influence and late winter mixing controlling the formation of the subtropical mode water. In addition, our results indicate that during the deglaciation, the sea level rise first during 4 kyr, while sea-surface temperatures stay cold. Only at 128 kyr do the two vary in phase sharply and rapidly; after that date the Gulf Stream increases its influence and reaches a maximum on the core site after 125 kyr. Therefore, the onset of the warm current seems to predate by 2 kyr the onset of the Eemian on land as recorded off Portugal. During the interval 122-116, the sea-surface temperatures are maximum in winter but start to decrease in summer. Superimposed on this cooling trend, we found several high-frequency cooling events better marked in winter (around 2 degrees C). For most of these, cooling peaks of lithic concentration (90-150 mu m) probably representing periodic ice rafting to the core site were found. We found that the repeated pacing of these events is about 1400 years.</t>
  </si>
  <si>
    <t>[Vautravers, M. J.; Sackleton, N. J.] Univ Cambridge, Dept Earth Sci, Godwin Lab Palaeoclimate Res, Cambridge CB2 3EQ, England</t>
  </si>
  <si>
    <t>University of Cambridge</t>
  </si>
  <si>
    <t>Vautravers, MJ (corresponding author), British Antarctic Survey, Madingley Rd, Cambridge CB3 0ET, England.</t>
  </si>
  <si>
    <t>Mleneck-Vautravers, Maryline/0000-0003-2534-219X</t>
  </si>
  <si>
    <t>10.1016/S1571-0866(07)80045-5</t>
  </si>
  <si>
    <t>WOS:000310639900021</t>
  </si>
  <si>
    <t>Sirocko, F; Claussen, M; Litt, T; Goñi, MFS; Berger, A; Boettger, T; Diehl, M; Desprat, S; Delmonte, B; Degering, D; Frechen, M; Geyh, MA; Groeger, M; Kageyama, M; Kaspar, F; Kühl, N; Kubatzki, C; Lohmann, G; Loutre, MF; Müller, U; Rein, B; Rosendahl, W; Roucoux, K; Rousseau, DD; Seelos, K; Siddall, M; Scholz, D; Spötl, C; Urban, B; Vautravers, M; Velichko, A; Wenzel, S; Widmann, M; Wünnemann, B</t>
  </si>
  <si>
    <t>Sirocko, Frank; Claussen, Martin; Litt, Thomas; Goni, Maria Fernanda Sanchez; Berger, Andre; Boettger, Tatjana; Diehl, Markus; Desprat, Stephanie; Delmonte, Barbara; Degering, Detlev; Frechen, Manfred; Geyh, Mebus A.; Groeger, Matthias; Kageyama, Masa; Kaspar, Frank; Kuehl, Norbert; Kubatzki, Claudia; Lohmann, Gerrit; Loutre, Marie-France; Mueller, Ulrich; Rein, Bert; Rosendahl, Wilfried; Roucoux, Katy; Rousseau, Denis-Didier; Seelos, Klemens; Siddall, Mark; Scholz, Denis; Spoetl, Christoph; Urban, Brigitte; Vautravers, Maryline; Velichko, Andrei; Wenzel, Stefan; Widmann, Martin; Wuennemann, Bernd</t>
  </si>
  <si>
    <t>Chronology and Climate Forcing of the Last Four Interglacials</t>
  </si>
  <si>
    <t>Editorial Material; Book Chapter</t>
  </si>
  <si>
    <t>[Claussen, Martin] Univ Hamburg, Hamburg, Germany; [Claussen, Martin; Groeger, Matthias; Kaspar, Frank] Max Planck Inst Meteorol, Hamburg, Germany; [Berger, Andre; Diehl, Markus] Catholic Univ Louvain, Louvain, Belgium; [Sirocko, Frank; Rein, Bert] Johannes Gutenberg Univ Mainz, D-6500 Mainz, Germany; [Delmonte, Barbara] Univ Milano Bicocca, DISAT, Milan, Italy; [Siddall, Mark] Univ Bern, CH-3012 Bern, Switzerland; [Frechen, Manfred; Geyh, Mebus A.] GGA Inst, Leibniz Inst Appl Geosci, Hannover, Germany; [Scholz, Denis] Heidelberger Akad Wissensch, Heidelberg, Germany; [Degering, Detlev] TU Freiberg, Saxon Acad Sci, Freiburg, Germany; [Wenzel, Stefan] Schloss Monrepos, Neuwied, Germany; [Goni, Maria Fernanda Sanchez; Desprat, Stephanie] Univ Bordeaux 1, F-33405 Talence, France; [Rousseau, Denis-Didier] Univ Montpellier 2, F-34095 Montpellier 5, France; [Kuehl, Norbert] Univ Bonn, Bonn, Germany; [Boettger, Tatjana] UFZ Helmholtz Ctr Environm Res, Leipzig, Germany; [Mueller, Ulrich] Goethe Univ Frankfurt, D-6000 Frankfurt, Germany; [Vautravers, Maryline] Univ Cambridge, Cambridge, England; [Vautravers, Maryline] British Antarctic Survey, Cambridge CB3 0ET, England; [Wuennemann, Bernd] Free Univ Berlin, Berlin, Germany; [Roucoux, Katy] Univ Leeds, Leeds LS2 9JT, W Yorkshire, England; [Urban, Brigitte] Univ Luneburg, Luneburg, Germany; [Rosendahl, Wilfried] Reiss Engelhorn Museen, Mannheim, Germany; [Spoetl, Christoph] Leopold Franzens Univ Innsbruck, Innsbruck, Austria; [Widmann, Martin] Univ Birmingham, Birmingham B15 2TT, W Midlands, England; [Widmann, Martin] GKSS Forschungszentrum Geesthacht GmbH, Geesthacht, Germany; [Kubatzki, Claudia; Lohmann, Gerrit] Alfred Wegener Inst Polar &amp; Marine Res, Bremerhaven, Germany; [Kageyama, Masa] Lab Sci Climat &amp; Environm, Gif Sur Yvette, France</t>
  </si>
  <si>
    <t>University of Hamburg; Max Planck Society; Universite Catholique Louvain; Johannes Gutenberg University of Mainz; University of Milano-Bicocca; University of Bern; Leibniz Institut fur Angewandte Geophysik (LIAG); Ruprecht Karls University Heidelberg; Universite de Bordeaux; Universite de Montpellier; University of Bonn; Helmholtz Association; Helmholtz Center for Environmental Research (UFZ); Goethe University Frankfurt; University of Cambridge; UK Research &amp; Innovation (UKRI); Natural Environment Research Council (NERC); NERC British Antarctic Survey; Free University of Berlin; University of Leeds; Leuphana University Luneburg; University of Innsbruck; University of Birmingham; Helmholtz Association; Helmholtz-Zentrum Hereon; Helmholtz Association; Alfred Wegener Institute, Helmholtz Centre for Polar &amp; Marine Research; CEA; Centre National de la Recherche Scientifique (CNRS); Universite Paris Saclay</t>
  </si>
  <si>
    <t>Sirocko, F (corresponding author), Johannes Gutenberg Univ Mainz, D-6500 Mainz, Germany.</t>
  </si>
  <si>
    <t>Sanchez Goñi, Maria Fernanda/R-3699-2019; Gröger, Matthias/G-6758-2015; Widmann, Martin/P-5178-2015; Rousseau, Denis-Didier/I-6892-2012; KAGEYAMA, Masa/F-2389-2010; Desprat, Stephanie/N-7637-2013; Scholz, Denis/G-1861-2016; Delmonte, Barbara/L-2555-2015; Kaspar, Frank/AAD-8129-2019; Lohmann, Gerrit/M-7453-2016; Wenzel, Stefan/H-8501-2016; Loutre, Marie-France/L-3594-2018</t>
  </si>
  <si>
    <t>Sanchez Goñi, Maria Fernanda/0000-0001-8238-7488; Gröger, Matthias/0000-0002-9927-5164; Rousseau, Denis-Didier/0000-0003-2475-3405; Desprat, Stephanie/0000-0003-4400-679X; Scholz, Denis/0000-0002-0055-8915; Delmonte, Barbara/0000-0002-9074-2061; Kaspar, Frank/0000-0001-8819-8450; Lohmann, Gerrit/0000-0003-2089-733X; Wenzel, Stefan/0000-0002-5791-8520; Mleneck-Vautravers, Maryline/0000-0003-2534-219X; Loutre, Marie-France/0000-0001-6944-4038; Roucoux, Katherine/0000-0001-6757-7267</t>
  </si>
  <si>
    <t>978-0-08-046806-8</t>
  </si>
  <si>
    <t>10.1016/S1571-0866(07)80065-0</t>
  </si>
  <si>
    <t>WOS:000310639900041</t>
  </si>
  <si>
    <t>Zech, R; Kull, C; Kubik, PW; Veit, H</t>
  </si>
  <si>
    <t>Zech, R.; Kull, Ch.; Kubik, P. W.; Veit, H.</t>
  </si>
  <si>
    <t>Exposure dating of late glacial and pre-LGM moraines in the Cordon de Dona Rosa, Northern/Central Chile (∼31°S)</t>
  </si>
  <si>
    <t>CLIMATE OF THE PAST</t>
  </si>
  <si>
    <t>COSMOGENIC-NUCLIDE PRODUCTION; SOUTHERN BOLIVIAN ALTIPLANO; ANTARCTIC ICE-SHEET; LATE PLEISTOCENE; ATACAMA DESERT; ATMOSPHERIC CIRCULATION; PRODUCTION-RATES; CLIMATE; BE-10; CHRONOLOGY</t>
  </si>
  <si>
    <t>Despite the important role of the Central Andes (15-30 degrees S) for climate reconstruction, knowledge about the Quaternary glaciation is very limited due to the scarcity of organic material for radiocarbon dating. We applied Be-10 surface exposure dating (SED) on 22 boulders from moraines in the Cordon de Do (n) over tildea Rosa, Northern/Central Chile (similar to 31 degrees S). The results show that several glacial advances in the southern Central Andes occurred during the Late Glacial between similar to 14.7 +/- 1.5 and 11.6 +/- 1.2 ka. A much more extensive glaciation is dated to similar to 32 +/- 3 ka, predating the temperature minimum of the global LGM (Last Glacial Maximum: similar to 20 ka). Reviewing these results in the paleoclimatic context, we conclude that the Late Glacial advances were most likely caused by an intensification of the tropical circulation and a corresponding increase in summer precipitation. High-latitude temperatures minima, e. g. the Younger Dryas (YD) and the Antarctic Cold Reversal (ACR) may have triggered individual advances, but current systematic exposure age uncertainties limit precise correlations. The absence of LGM moraines indicates that moisture advection was too limited to allow significant glacial advances at similar to 20 ka. The tropical circulation was less intensive despite the maximum in austral summer insolation. Winter precipitation was apparently also insufficient, although pollen and marine studies indicate a northward shift of the westerlies at that time. The dominant pre-LGM glacial advances in Northern/Central Chile at similar to 32 ka required lower temperatures and increased precipitation than today. We conclude that the westerlies were more intense and/or shifted equatorward, possibly due to increased snow and ice cover at higher southern latitudes coinciding with a minimum of insolation.</t>
  </si>
  <si>
    <t>Univ Bern, Inst Geol, CH-3012 Bern, Switzerland; PAGES IPO, CH-3007 Bern, Switzerland; ETH, Inst Particle Phys, Paul Scherrer Inst, CH-8093 Zurich, Switzerland</t>
  </si>
  <si>
    <t>University of Bern; Swiss Federal Institutes of Technology Domain; ETH Zurich; Paul Scherrer Institute</t>
  </si>
  <si>
    <t>Zech, R (corresponding author), Univ Bern, Inst Geol, Hallerstr 12, CH-3012 Bern, Switzerland.</t>
  </si>
  <si>
    <t>roland.zech@giub.unibe.ch</t>
  </si>
  <si>
    <t>IPO, PAGES/JXY-7546-2024</t>
  </si>
  <si>
    <t>1814-9324</t>
  </si>
  <si>
    <t>1814-9332</t>
  </si>
  <si>
    <t>CLIM PAST</t>
  </si>
  <si>
    <t>Clim. Past.</t>
  </si>
  <si>
    <t>10.5194/cp-3-1-2007</t>
  </si>
  <si>
    <t>Geosciences, Multidisciplinary; Meteorology &amp; Atmospheric Sciences</t>
  </si>
  <si>
    <t>Geology; Meteorology &amp; Atmospheric Sciences</t>
  </si>
  <si>
    <t>140LN</t>
  </si>
  <si>
    <t>WOS:000244506800001</t>
  </si>
  <si>
    <t>Weber, SL; Drijfhout, SS; Abe-Ouchi, A; Crucifix, M; Eby, M; Ganopolski, A; Murakami, S; Otto-Bliesner, B; Peltier, WR</t>
  </si>
  <si>
    <t>Weber, S. L.; Drijfhout, S. S.; Abe-Ouchi, A.; Crucifix, M.; Eby, M.; Ganopolski, A.; Murakami, S.; Otto-Bliesner, B.; Peltier, W. R.</t>
  </si>
  <si>
    <t>The modern and glacial overturning circulation in the Atlantic Ocean in PMIP coupled model simulations</t>
  </si>
  <si>
    <t>DEEP-WATER CIRCULATION; NORTH-ATLANTIC; THERMOHALINE CIRCULATION; CLIMATE MODEL; MAXIMUM; CONSTRAINTS; EARTH; RECONSTRUCTIONS; TEMPERATURE; TRANSPORTS</t>
  </si>
  <si>
    <t>This study analyses the response of the Atlantic meridional overturning circulation (AMOC) to LGM forcings and boundary conditions in nine PMIP coupled model simulations, including both GCMs and Earth system Models of Intermediate Complexity. Model results differ widely. The AMOC slows down considerably (by 20-40%) during the LGM as compared to the modern climate in four models, there is a slight reduction in one model and four models show a substantial increase in AMOC strength (by 10-40%). It is found that a major controlling factor for the AMOC response is the density contrast between Antarctic Bottom Water (AABW) and North Atlantic Deep Water (NADW) at their source regions. Changes in the density contrast are determined by the opposing effects of changes in temperature and salinity, with more saline AABW as compared to NADW consistently found in all models and less cooling of AABW in all models but one. In only two models is the AMOC response during the LGM directly related to the response in net evaporation over the Atlantic basin. Most models show large changes in the ocean freshwater transports into the basin, but this does not seem to affect the AMOC response. Finally, there is some dependence on the accuracy of the control state.</t>
  </si>
  <si>
    <t>Royal Netherlands Meteorol Inst, KNMI, NL-3730 AE De Bilt, Netherlands; Univ Tokyo, Ctr Climate Syst Res, Kashiwa, Chiba, Japan; Hadley Ctr Climate Predict &amp; Res, Met Off, Exeter, Devon, England; Univ Victoria, Sch Earth &amp; Ocean Sci, Victoria, BC, Canada; Potsdam Inst Climate Impact Res, Potsdam, Germany; JAMSTEC, Frontier Res Ctr Global Change, Yokohama, Kanagawa, Japan; Meteorol Res Inst, Tsukuba, Ibaraki 305, Japan; Natl Ctr Atmospher Res, Boulder, CO 80307 USA; Univ Toronto, Dept Phys, Toronto, ON, Canada</t>
  </si>
  <si>
    <t>Royal Netherlands Meteorological Institute; University of Tokyo; Met Office - UK; Hadley Centre; University of Victoria; Potsdam Institut fur Klimafolgenforschung; Japan Agency for Marine-Earth Science &amp; Technology (JAMSTEC); Meteorological Research Institute - Japan; National Center Atmospheric Research (NCAR) - USA; University of Toronto</t>
  </si>
  <si>
    <t>Weber, SL (corresponding author), Royal Netherlands Meteorol Inst, KNMI, POB 201, NL-3730 AE De Bilt, Netherlands.</t>
  </si>
  <si>
    <t>weber@knmi.nl</t>
  </si>
  <si>
    <t>Otto-Bliesner, Bette/AAY-7691-2020; Eby, Michael/H-5278-2013; Drijfhout, Sybren/I-4230-2016; Peltier, William R./A-1102-2008; Ganopolski, Andrey/F-6811-2013; Abe-Ouchi, Ayako A/M-6359-2013</t>
  </si>
  <si>
    <t>Abe-Ouchi, Ayako A/0000-0003-1745-5952; Crucifix, Michel/0000-0002-3437-4911; Drijfhout, Sybren/0000-0001-5325-7350</t>
  </si>
  <si>
    <t>10.5194/cp-3-51-2007</t>
  </si>
  <si>
    <t>WOS:000244506800004</t>
  </si>
  <si>
    <t>Hargreaves, JC; Abe-Ouchi, A; Annan, JD</t>
  </si>
  <si>
    <t>Hargreaves, J. C.; Abe-Ouchi, A.; Annan, J. D.</t>
  </si>
  <si>
    <t>Linking glacial and future climates through an ensemble of GCM simulations</t>
  </si>
  <si>
    <t>ICE-SHEET; SENSITIVITY; MODEL; GREENLAND</t>
  </si>
  <si>
    <t>In this paper we explore the relationships between the modelled climate of the Last Glacial Maximum (LGM) and that for doubled atmospheric carbon dioxide compared to the pre-industrial climate by analysing the output from an ensemble of runs from the MIROC3.2 GCM. Our results lend support to the idea in other recent work that the Antarctic is a useful place to look for historical data which can be used to validate models used for climate forecasting of future greenhouse gas induced climate changes, at local, regional and global scales. Good results may also be obtainable using tropical temperatures, particularly those over the ocean. While the greater area in the tropics makes them an attractive area for seeking data, polar amplification of temperature changes may mean that the Antarctic provides a clearer signal relative to the uncertainties in data and model results. Our result for Greenland is not so strong, possibly due to difficulties in accurately modelling the sea ice extent. The MIROC3.2 model shows an asymmetry in climate sensitivity calculated by decreasing rather than increasing the greenhouse gases, with 80% of the ensemble having a weaker cooling than warming. This asymmetry, if confirmed by other studies would mean that direct estimates of climate sensitivity from the LGM are likely to be underestimated by the order of half a degree. Our suspicion is, however, that this result may be highly model dependent. Analysis of the parameters varied in the model suggest the asymmetrical response may be linked to the ice in the clouds, which is therefore indicated as an important area for future research.</t>
  </si>
  <si>
    <t>JAMSTEC, FRCGC, Yokohama, Kanagawa, Japan; CCSR, Tokyo, Japan</t>
  </si>
  <si>
    <t>Japan Agency for Marine-Earth Science &amp; Technology (JAMSTEC)</t>
  </si>
  <si>
    <t>Hargreaves, JC (corresponding author), JAMSTEC, FRCGC, Yokohama, Kanagawa, Japan.</t>
  </si>
  <si>
    <t>jules@jamstec.go.jp</t>
  </si>
  <si>
    <t>Abe-Ouchi, Ayako A/M-6359-2013; Annan, James/A-3702-2010</t>
  </si>
  <si>
    <t>Abe-Ouchi, Ayako A/0000-0003-1745-5952; Hargreaves, Julia/0000-0002-4217-5023</t>
  </si>
  <si>
    <t>10.5194/cp-3-77-2007</t>
  </si>
  <si>
    <t>WOS:000244506800006</t>
  </si>
  <si>
    <t>Hou, S; Chappellaz, J; Jouzel, J; Chu, PC; Masson-Delmotte, V; Qin, D; Raynaud, D; Mayewski, PA; Lipenkov, VY; Kang, S</t>
  </si>
  <si>
    <t>Hou, S.; Chappellaz, J.; Jouzel, J.; Chu, P. C.; Masson-Delmotte, V.; Qin, D.; Raynaud, D.; Mayewski, P. A.; Lipenkov, V. Y.; Kang, S.</t>
  </si>
  <si>
    <t>Summer temperature trend over the past two millennia using air content in Himalayan ice</t>
  </si>
  <si>
    <t>QINGHAI-TIBETAN PLATEAU; EAST RONGBUK GLACIER; CLIMATE-CHANGE; MOUNT EVEREST; ASIAN MONSOON; RING CHRONOLOGIES; POLAR ICE; CORE; RECORD; SIGNALS</t>
  </si>
  <si>
    <t>Two Himalayan ice cores display a factor-two decreasing trend of air content over the past two millennia, in contrast to the relatively stable values in Greenland and Antarctica ice cores over the same period. Because the air content can be related with the relative frequency and intensity of melt phenomena, its variations along the Himalayan ice cores provide an indication of summer temperature trend. Our reconstruction point toward an unprecedented warming trend in the 20th century but does not depict the usual trends associated with Medieval Warm Period (MWP), or Little Ice Age (LIA).</t>
  </si>
  <si>
    <t>Domaine Univ, Lab Glaciol &amp; Geophys Environm, CNRS, UJF, F-38402 St Martin Dheres, France; CEA Saclay, IPSL, Lab Sci Climate &amp; Environm, CNRS,UVSQ, F-91191 Gif Sur Yvette, France; Chinese Acad Sci, Lab Cryosphere &amp; Environm, Lanzhou 730000, Peoples R China; USN, Postgrad Sch, Naval Ocean Atmosphere Predict Lab, Dept Oceanog, Monterey, CA 93943 USA; Univ Maine, Climate Change Inst CCI, Orono, ME 04469 USA; Arctic &amp; Antarctic Res Inst, St Petersburg 199397, Russia</t>
  </si>
  <si>
    <t>Communaute Universite Grenoble Alpes; Universite Grenoble Alpes (UGA); Centre National de la Recherche Scientifique (CNRS); Universite Paris Saclay; CEA; Centre National de la Recherche Scientifique (CNRS); Universite Paris Cite; Chinese Academy of Sciences; United States Department of Defense; United States Navy; Naval Postgraduate School; University of Maine System; University of Maine Orono; Arctic &amp; Antarctic Research Institute</t>
  </si>
  <si>
    <t>Hou, S (corresponding author), Domaine Univ, Lab Glaciol &amp; Geophys Environm, CNRS, UJF, 54 Rue Moliere,BP 96, F-38402 St Martin Dheres, France.</t>
  </si>
  <si>
    <t>shugui@lzb.ac.cn</t>
  </si>
  <si>
    <t>raynaud, dominique/ABG-4718-2020; Masson-Delmotte, Valerie L/G-1995-2011; Mayewski, Paul Andrew/HRD-6969-2023; Raynaud, Dominique/H-9626-2016; Chappellaz, Jérôme A./A-4872-2011; Kang, Shichang/I-6830-2018; Lipenkov, Vladimir/Q-8262-2016</t>
  </si>
  <si>
    <t>Masson-Delmotte, Valerie L/0000-0001-8296-381X; Hou, Shugui/0000-0002-0905-3542; Kang, Shichang/0000-0003-2115-9005; Lipenkov, Vladimir/0000-0003-4221-5440</t>
  </si>
  <si>
    <t>Div Atmospheric &amp; Geospace Sciences; Directorate For Geosciences [0754644] Funding Source: National Science Foundation</t>
  </si>
  <si>
    <t>Div Atmospheric &amp; Geospace Sciences; Directorate For Geosciences(National Science Foundation (NSF)NSF - Directorate for Geosciences (GEO))</t>
  </si>
  <si>
    <t>10.5194/cp-3-89-2007</t>
  </si>
  <si>
    <t>WOS:000244506800007</t>
  </si>
  <si>
    <t>Severi, M; Becagli, S; Castellano, E; Morganti, A; Traversi, R; Udisti, R; Ruth, U; Fischer, H; Huybrechts, P; Wolff, E; Parrenin, F; Kaufmann, P; Lambert, F; Steffensen, JP</t>
  </si>
  <si>
    <t>Severi, M.; Becagli, S.; Castellano, E.; Morganti, A.; Traversi, R.; Udisti, R.; Ruth, U.; Fischer, H.; Huybrechts, P.; Wolff, E.; Parrenin, F.; Kaufmann, P.; Lambert, F.; Steffensen, J. P.</t>
  </si>
  <si>
    <t>Synchronisation of the EDML and EDC ice cores for the last 52 kyr by volcanic signature matching</t>
  </si>
  <si>
    <t>DOME-C; AMUNDSENISEN; VARIABILITY; ANTARCTICA; GREENLAND; RECORDS; HISTORY; VOSTOK; FIRN</t>
  </si>
  <si>
    <t>A common time scale for the EPICA ice cores from Dome C (EDC) and Dronning Maud Land (EDML) has been established. Since the EDML core was not drilled on a dome, the development of the EDML1 time scale for the EPICA ice core drilled in Dronning Maud Land was based on the creation of a detailed stratigraphic link between EDML and EDC, which was dated by a simpler 1D ice-flow model. The synchronisation between the two EPICA ice cores was done through the identification of several common volcanic signatures. This paper describes the rigorous method, using the signature of volcanic sulfate, which was employed for the last 52 kyr of the record. We estimated the discrepancies between the modelled EDC and EDML glaciological age scales during the studied period, by evaluating the ratio R of the apparent duration of temporal intervals between pairs of isochrones. On average R ranges between 0.8 and 1.2 corresponding to an uncertainty of up to 20% in the estimate of the time duration in at least one of the two ice cores. Significant deviations of R up to 1.4-1.5 are observed between 18 and 28 kyr before present (BP), where present is defined as 1950. At this stage our approach does not allow us unequivocally to find out which of the models is affected by errors, but assuming that the thinning function at both sites and accumulation history at Dome C (which was drilled on a dome) are correct, this anomaly can be ascribed to a complex spatial accumulation variability (which may be different in the past compared to the present day) upstream of the EDML core.</t>
  </si>
  <si>
    <t>Univ Florence, Dept Chem, Florence, Italy; Alfred Wegener Inst Polar &amp; Marine Res, D-2850 Bremerhaven, Germany; British Antarctic Survey, Cambridge CB3 0ET, England; Univ Grenoble 1, CNRS, Lab Glaciol &amp; Geophys Environm, Grenoble, France; Univ Bern, Inst Phys, Bern, Switzerland; Univ Copenhagen, Niels Bohr Inst, DK-2100 Copenhagen, Denmark; Vrije Univ Brussel, Dept Geog, Brussels, Belgium</t>
  </si>
  <si>
    <t>University of Florence; Helmholtz Association; Alfred Wegener Institute, Helmholtz Centre for Polar &amp; Marine Research; UK Research &amp; Innovation (UKRI); Natural Environment Research Council (NERC); NERC British Antarctic Survey; Centre National de la Recherche Scientifique (CNRS); Communaute Universite Grenoble Alpes; Universite Grenoble Alpes (UGA); University of Bern; University of Copenhagen; Niels Bohr Institute; Vrije Universiteit Brussel</t>
  </si>
  <si>
    <t>Severi, M (corresponding author), Univ Florence, Dept Chem, Via Gino Capponi 7, Florence, Italy.</t>
  </si>
  <si>
    <t>mirko.severi@unifi.it</t>
  </si>
  <si>
    <t>Steffensen, Jorgen Peder/JFS-7831-2023; Becagli, Silvia/GNW-2665-2022; Wolff, Eric W/D-7925-2014; Lambert, Fabrice/M-2003-2014; Parrenin, Frédéric/H-3054-2014; Udisti, Roberto/M-7966-2015; Traversi, Rita/M-7586-2015; Huybrechts, Philippe/J-5278-2013; Fischer, Hubertus/A-1211-2014; Severi, Mirko/J-2508-2012</t>
  </si>
  <si>
    <t>Steffensen, Jorgen Peder/0000-0002-5516-1093; Wolff, Eric W/0000-0002-5914-8531; Lambert, Fabrice/0000-0002-2192-024X; Parrenin, Frédéric/0000-0002-9489-3991; Udisti, Roberto/0000-0003-4440-8238; Becagli, Silvia/0000-0003-3633-4849; Traversi, Rita/0000-0002-9790-2195; Huybrechts, Philippe/0000-0003-1406-0525; Fischer, Hubertus/0000-0002-2787-4221; Severi, Mirko/0000-0003-1511-6762</t>
  </si>
  <si>
    <t>10.5194/cp-3-367-2007</t>
  </si>
  <si>
    <t>215CJ</t>
  </si>
  <si>
    <t>Green Submitted, Green Published, gold, Green Accepted</t>
  </si>
  <si>
    <t>WOS:000249785600001</t>
  </si>
  <si>
    <t>Ridgwell, A</t>
  </si>
  <si>
    <t>Ridgwell, A.</t>
  </si>
  <si>
    <t>Application of sediment core modelling to interpreting the glacial-interglacial record of Southern Ocean silica cycling</t>
  </si>
  <si>
    <t>ATMOSPHERIC CO2; SEA-ICE; PRODUCTIVITY; CLIMATE; CARBON; SECTOR; FLUXES; PCO(2); RATIO; PROXY</t>
  </si>
  <si>
    <t>Sediments from the Southern Ocean reveal a meridional divide in biogeochemical cycling response to the glacial-interglacial cycles of the late Neogene. South of the present-day position of the Antarctic Polar Front in the Atlantic sector of the Southern Ocean, biogenic opal is generally much more abundant in sediments during interglacials compared to glacials. To the north, an anti-phased relationship is observed, with maximum opal abundance instead occurring during glacials. This antagonistic response of sedimentary properties provides an important model validation target for testing hypotheses of glacial-interglacial change against, particularly for understanding the causes of the concurrent variability in atmospheric CO2. Here, I illustrate a time-dependent modelling approach to helping understand climates of the past by means of the mechanistic simulation of marine sediment core records. I find that a close match between model-predicted and observed down-core changes in sedimentary opal content can be achieved when changes in seasonal sea-ice extent are imposed, whereas the predicted sedimentary response to iron fertilization on its own is not consistent with sedimentary observations. The results of this sediment record model-data comparison supports previous inferences that the changing cryosphere is the primary driver of the striking features exhibited by the paleoceanographic record of this region.</t>
  </si>
  <si>
    <t>Univ Bristol, Sch Geog Sci, Bristol, Avon, England</t>
  </si>
  <si>
    <t>University of Bristol</t>
  </si>
  <si>
    <t>Ridgwell, A (corresponding author), Univ Bristol, Sch Geog Sci, Bristol, Avon, England.</t>
  </si>
  <si>
    <t>andy@seao2.org</t>
  </si>
  <si>
    <t>Ridgwell, Andy/AAD-9487-2021</t>
  </si>
  <si>
    <t>Ridgwell, Andy/0000-0003-2333-0128</t>
  </si>
  <si>
    <t>10.5194/cp-3-387-2007</t>
  </si>
  <si>
    <t>WOS:000249785600003</t>
  </si>
  <si>
    <t>Ruth, U; Barnola, JM; Beer, J; Bigler, M; Blunier, T; Castellano, E; Fischer, H; Fundel, F; Huybrechts, P; Kaufmann, P; Kipfstuhl, S; Lambrecht, A; Morganti, A; Oerter, H; Parrenin, F; Rybak, O; Severi, M; Udisti, R; Wilhelms, F; Wolff, E</t>
  </si>
  <si>
    <t>Ruth, U.; Barnola, J.-M.; Beer, J.; Bigler, M.; Blunier, T.; Castellano, E.; Fischer, H.; Fundel, F.; Huybrechts, P.; Kaufmann, P.; Kipfstuhl, S.; Lambrecht, A.; Morganti, A.; Oerter, H.; Parrenin, F.; Rybak, O.; Severi, M.; Udisti, R.; Wilhelms, F.; Wolff, E.</t>
  </si>
  <si>
    <t>EDML1: a chronology for the EPICA deep ice core from Dronning Maud Land, Antarctica, over the last 150 000 years</t>
  </si>
  <si>
    <t>PAST 2 KYR; DOME-C; ACCUMULATION; RECORDS; FIRN; SYNCHRONIZATION; AMUNDSENISEN; VARIABILITY; SULFATE; EVENTS</t>
  </si>
  <si>
    <t>A chronology called EDML1 has been developed for the EPICA ice core from Dronning Maud Land (EDML). EDML1 is closely interlinked with EDC3, the new chronology for the EPICA ice core from Dome-C (EDC) through a stratigraphic match between EDML and EDC that consists of 322 volcanic match points over the last 128 ka. The EDC3 chronology comprises a glaciological model at EDC, which is constrained and later selectively tuned using primary dating information from EDC as well as from EDML, the latter being transferred using the tight stratigraphic link between the two cores. Finally, EDML1 was built by exporting EDC3 to EDML. For ages younger than 41 ka BP the new synchronized time scale EDML1/EDC3 is based on dated volcanic events and on a match to the Greenlandic ice core chronology GICC05 via Be-10 and methane. The internal consistency between EDML1 and EDC3 is estimated to be typically similar to 6 years and always less than 450 years over the last 128 ka (always less than 130 years over the last 60 ka), which reflects an unprecedented synchrony of time scales. EDML1 ends at 150 ka BP (2417 m depth) because the match between EDML and EDC becomes ambiguous further down. This hints at a complex ice flow history for the deepest 350 m of the EDML ice core.</t>
  </si>
  <si>
    <t>Alfred Wegener Inst Polar &amp; Marine Res, Bremerhaven, Germany; CNRS, Lab Glaciol &amp; Geophys Environm, Grenoble, France; Swiss Fed Inst Aquat Sci &amp; Technol, EAWAG, Dubendorf, Switzerland; Univ Bern, Inst Phys, Bern, Switzerland; Univ Florence, Dept Chem, Florence, Italy; British Antarctic Survey, Cambridge CB3 0ET, England; Univ Copenhagen, Niels Bohr Inst, Ice &amp; Climate Res, DK-2100 Copenhagen, Denmark; Vrije Univ Brussel, Dept Geog, Brussels, Belgium</t>
  </si>
  <si>
    <t>Helmholtz Association; Alfred Wegener Institute, Helmholtz Centre for Polar &amp; Marine Research; Centre National de la Recherche Scientifique (CNRS); Communaute Universite Grenoble Alpes; Universite Grenoble Alpes (UGA); Swiss Federal Institutes of Technology Domain; Swiss Federal Institute of Aquatic Science &amp; Technology (EAWAG); University of Bern; University of Florence; UK Research &amp; Innovation (UKRI); Natural Environment Research Council (NERC); NERC British Antarctic Survey; University of Copenhagen; Niels Bohr Institute; Vrije Universiteit Brussel</t>
  </si>
  <si>
    <t>Ruth, U (corresponding author), Alfred Wegener Inst Polar &amp; Marine Res, Bremerhaven, Germany.</t>
  </si>
  <si>
    <t>uruth@awi-bremerhaven.de</t>
  </si>
  <si>
    <t>Bishnoi, Mamta/AAQ-8346-2021; Parrenin, Frédéric/H-3054-2014; Wolff, Eric W/D-7925-2014; Fundel, Felix/C-5469-2009; Wilhelms, Frank/KEI-8426-2024; Udisti, Roberto/M-7966-2015; Bigler, Matthias/HTT-3872-2023; Rybak, Oleg/B-7308-2014; Rybak, Oleg/AAQ-8467-2020; Severi, Mirko/J-2508-2012; Blunier, Thomas/M-4609-2014; Huybrechts, Philippe/J-5278-2013; Fischer, Hubertus/A-1211-2014</t>
  </si>
  <si>
    <t>Bishnoi, Mamta/0000-0003-4987-0536; Parrenin, Frédéric/0000-0002-9489-3991; Wolff, Eric W/0000-0002-5914-8531; Wilhelms, Frank/0000-0001-7688-3135; Udisti, Roberto/0000-0003-4440-8238; Bigler, Matthias/0000-0003-0184-4013; Rybak, Oleg/0000-0003-3923-7163; Rybak, Oleg/0000-0002-7234-0544; Severi, Mirko/0000-0003-1511-6762; Blunier, Thomas/0000-0002-6065-7747; Huybrechts, Philippe/0000-0003-1406-0525; Fischer, Hubertus/0000-0002-2787-4221; Becagli, Silvia/0000-0003-3633-4849</t>
  </si>
  <si>
    <t>10.5194/cp-3-475-2007</t>
  </si>
  <si>
    <t>Green Submitted, Green Published, Green Accepted, gold</t>
  </si>
  <si>
    <t>WOS:000249785600010</t>
  </si>
  <si>
    <t>Parrenin, F; Barnola, JM; Beer, J; Blunier, T; Castellano, E; Chappellaz, J; Dreyfus, G; Fischer, H; Fujita, S; Jouzel, J; Kawamura, K; Lemieux-Dudon, B; Loulergue, L; Masson-Delmotte, V; Narcisi, B; Petit, JR; Raisbeck, G; Raynaud, D; Ruth, U; Schwander, J; Severi, M; Spahni, R; Steffensen, JP; Svensson, A; Udisti, R; Waelbroeck, C; Wolff, E</t>
  </si>
  <si>
    <t>Parrenin, F.; Barnola, J.-M.; Beer, J.; Blunier, T.; Castellano, E.; Chappellaz, J.; Dreyfus, G.; Fischer, H.; Fujita, S.; Jouzel, J.; Kawamura, K.; Lemieux-Dudon, B.; Loulergue, L.; Masson-Delmotte, V.; Narcisi, B.; Petit, J.-R.; Raisbeck, G.; Raynaud, D.; Ruth, U.; Schwander, J.; Severi, M.; Spahni, R.; Steffensen, J. P.; Svensson, A.; Udisti, R.; Waelbroeck, C.; Wolff, E.</t>
  </si>
  <si>
    <t>The EDC3 chronology for the EPICA dome C ice core</t>
  </si>
  <si>
    <t>LATE PLEISTOCENE; EAST ANTARCTICA; OXYGEN-ISOTOPE; CLIMATE-CHANGE; GREENLAND; RECORD; AGE; VARIABILITY; CALIBRATION; FLOW</t>
  </si>
  <si>
    <t>The EPICA (European Project for Ice Coring in Antarctica) Dome C drilling in East Antarctica has now been completed to a depth of 3260 m, at only a few meters above bedrock. Here we present the new EDC3 chronology, which is based on the use of 1) a snow accumulation and mechanical flow model, and 2) a set of independent age markers along the core. These are obtained by pattern matching of recorded parameters to either absolutely dated paleoclimatic records, or to insolation variations. We show that this new time scale is in excellent agreement with the Dome Fuji and Vostok ice core time scales back to 100 kyr within 1 kyr. Discrepancies larger than 3 kyr arise during MIS 5.4, 5.5 and 6, which points to anomalies in either snow accumulation or mechanical flow during these time periods. We estimate that EDC3 gives accurate event durations within 20% (2 sigma) back to MIS11 and accurate absolute ages with a maximum uncertainty of 6 kyr back to 800 kyr.</t>
  </si>
  <si>
    <t>Univ Grenoble 1, CNRS, Lab Glaciol &amp; Geophys Environm, Grenoble, France; EAWAG, Dept Surface Waters, Dubendorf, Switzerland; Univ Bern, Inst Phys, Bern, Switzerland; Univ Florence, Dept Chem, Florence, Italy; UVSQ, CNRS, CEA, IPSL Lab Sci Climat Environm, Gif Sur Yvette, France; Alfred Wegener Inst Polar &amp; Marine Res, D-2850 Bremerhaven, Germany; Natl Inst Polar Res, Res Org Informat &amp; Syst, Tokyo 173, Japan; Tohoku Univ, Grad Sch Sci, Ctr Atmospher &amp; Ocean Studies, Sendai, Miyagi 980, Japan; ENEA, C R Casaccia, Rome, Italy; CNRS, CSNSM, IN2P3, F-91405 Orsay, France; Univ Copenhagen, Niels Bohr Inst, DK-2100 Copenhagen, Denmark; British Antarctic Survey, Cambridge CB3 0ET, England</t>
  </si>
  <si>
    <t>Communaute Universite Grenoble Alpes; Universite Grenoble Alpes (UGA); Centre National de la Recherche Scientifique (CNRS); Swiss Federal Institutes of Technology Domain; Swiss Federal Institute of Aquatic Science &amp; Technology (EAWAG); University of Bern; University of Florence; Universite Paris Saclay; CEA; Centre National de la Recherche Scientifique (CNRS); Universite Paris Cite; Helmholtz Association; Alfred Wegener Institute, Helmholtz Centre for Polar &amp; Marine Research; Research Organization of Information &amp; Systems (ROIS); National Institute of Polar Research (NIPR) - Japan; Tohoku University; Italian National Agency New Technical Energy &amp; Sustainable Economics Development; Universite Paris Saclay; Centre National de la Recherche Scientifique (CNRS); CNRS - National Institute of Nuclear and Particle Physics (IN2P3); University of Copenhagen; Niels Bohr Institute; UK Research &amp; Innovation (UKRI); Natural Environment Research Council (NERC); NERC British Antarctic Survey</t>
  </si>
  <si>
    <t>Parrenin, F (corresponding author), Univ Grenoble 1, CNRS, Lab Glaciol &amp; Geophys Environm, Grenoble, France.</t>
  </si>
  <si>
    <t>parrenin@ujf-grenoble.fr</t>
  </si>
  <si>
    <t>Svensson, Anders/A-2643-2010; Udisti, Roberto/M-7966-2015; Chappellaz, Jérôme A./A-4872-2011; Parrenin, Frédéric/H-3054-2014; Wolff, Eric W/D-7925-2014; raynaud, dominique/ABG-4718-2020; Steffensen, Jorgen Peder/JFS-7831-2023; Masson-Delmotte, Valerie L/G-1995-2011; Raynaud, Dominique/H-9626-2016; Blunier, Thomas/M-4609-2014; Fischer, Hubertus/A-1211-2014; Kawamura, Kenji/C-7660-2011; Severi, Mirko/J-2508-2012; Fujita, Shuji/A-7884-2016</t>
  </si>
  <si>
    <t>Svensson, Anders/0000-0002-4364-6085; Udisti, Roberto/0000-0003-4440-8238; Parrenin, Frédéric/0000-0002-9489-3991; Wolff, Eric W/0000-0002-5914-8531; Steffensen, Jorgen Peder/0000-0002-5516-1093; Masson-Delmotte, Valerie L/0000-0001-8296-381X; waelbroeck, claire/0000-0002-7256-5727; Lemieux-Dudon, Benedicte/0000-0002-0718-2420; Blunier, Thomas/0000-0002-6065-7747; Fischer, Hubertus/0000-0002-2787-4221; Becagli, Silvia/0000-0003-3633-4849; Kawamura, Kenji/0000-0003-1163-700X; Severi, Mirko/0000-0003-1511-6762; Fujita, Shuji/0000-0003-0127-0777</t>
  </si>
  <si>
    <t>10.5194/cp-3-485-2007</t>
  </si>
  <si>
    <t>Green Accepted, Green Submitted, gold, Green Published</t>
  </si>
  <si>
    <t>WOS:000249785600011</t>
  </si>
  <si>
    <t>Loulergue, L; Parrenin, F; Blunier, T; Barnola, JM; Spahni, R; Schilt, A; Raisbeck, G; Chappellaz, J</t>
  </si>
  <si>
    <t>Loulergue, L.; Parrenin, F.; Blunier, T.; Barnola, J.-M.; Spahni, R.; Schilt, A.; Raisbeck, G.; Chappellaz, J.</t>
  </si>
  <si>
    <t>New constraints on the gas age-ice age difference along the EPICA ice cores, 0-50 kyr</t>
  </si>
  <si>
    <t>ABRUPT CLIMATE-CHANGE; DRONNING MAUD LAND; ATMOSPHERIC CO2; GREENLAND CLIMATE; TEMPERATURE-CHANGES; ANTARCTICA; AIR; FIRN; CHRONOLOGY; RECORD</t>
  </si>
  <si>
    <t>Gas is trapped in polar ice sheets at similar to 50-120 m below the surface and is therefore younger than the surrounding ice. Firn densification models are used to evaluate this ice age-gas age difference (Delta age) in the past. However, such models need to be validated by data, in particular for periods colder than present day on the East Antarctic plateau. Here we bring new constraints to test a firn densification model applied to the EPICA Dome C (EDC) site for the last 50 kyr, by linking the EDC ice core to the EPICA Dronning Maud Land (EDML) ice core, both in the ice phase (using volcanic horizons) and in the gas phase (using rapid methane variations). We also use the structured Be-10 peak, occurring 41 kyr before present (BP) and due to the low geomagnetic field associated with the Laschamp event, to experimentally estimate the Delta age during this event. Our results seem to reveal an overestimate of the Delta age by the firn densification model during the last glacial period at EDC. Tests with different accumulation rates and temperature scenarios do not entirely resolve this discrepancy. Although the exact reasons for the Delta age overestimate at the two EPICA sites remain unknown at this stage, we conclude that current densification model simulations have deficits under glacial climatic conditions. Whatever the cause of the Delta age overestimate, our finding suggests that the phase relationship between CO2 and EDC temperature previously inferred for the start of the last deglaciation (lag of CO2 by 800 +/- 600 yr) seems to be overestimated.</t>
  </si>
  <si>
    <t>Univ Grenoble 1, CNRS, Lab Glaciol &amp; Geophys Environm, St Martin Dheres, France; Univ Bern, Inst Phys, CH-3012 Bern, Switzerland; Univ Paris Sud, CNRS, Ctr Spectrometrie Nucl &amp; Spectrometrie Masse, IN2P3, F-91405 Orsay, France</t>
  </si>
  <si>
    <t>Communaute Universite Grenoble Alpes; Universite Grenoble Alpes (UGA); Centre National de la Recherche Scientifique (CNRS); University of Bern; Centre National de la Recherche Scientifique (CNRS); CNRS - National Institute of Nuclear and Particle Physics (IN2P3); Universite Paris Saclay; Universite Paris Cite</t>
  </si>
  <si>
    <t>Loulergue, L (corresponding author), Univ Grenoble 1, CNRS, Lab Glaciol &amp; Geophys Environm, BP96 38402, St Martin Dheres, France.</t>
  </si>
  <si>
    <t>loulergue@lgge.obs.ujf-grenoble.fr</t>
  </si>
  <si>
    <t>Chappellaz, Jérôme A./A-4872-2011; Parrenin, Frédéric/H-3054-2014; Blunier, Thomas/M-4609-2014</t>
  </si>
  <si>
    <t>Parrenin, Frédéric/0000-0002-9489-3991; Blunier, Thomas/0000-0002-6065-7747; Schilt, Adrian/0000-0001-6312-7947</t>
  </si>
  <si>
    <t>10.5194/cp-3-527-2007</t>
  </si>
  <si>
    <t>Green Submitted, gold, Green Published</t>
  </si>
  <si>
    <t>WOS:000249785600014</t>
  </si>
  <si>
    <t>Raisbeck, GM; Yiou, F; Jouzel, J; Stocker, TF</t>
  </si>
  <si>
    <t>Raisbeck, G. M.; Yiou, F.; Jouzel, J.; Stocker, T. F.</t>
  </si>
  <si>
    <t>Direct north-south synchronization of abrupt climate change record in ice cores using Beryllium 10</t>
  </si>
  <si>
    <t>ENHANCED BE-10 DEPOSITION; GREENLAND CLIMATE; TEMPERATURE RECORD; LAST DEGLACIATION; GLACIAL CLIMATE; ISOTOPE RECORDS; OXYGEN-ISOTOPE; ANTARCTICA; SEDIMENTS; SEESAW</t>
  </si>
  <si>
    <t>A new, decadally resolved record of the Be-10 peak at 41 kyr from the EPICA Dome C ice core (Antarctica) is used to match it with the same peak in the GRIP ice core (Greenland). This permits a direct synchronisation of the climatic variations around this time period, independent of uncertainties related to the ice age-gas age difference in ice cores. Dansgaard-Oeschger event 10 is in the period of best synchronisation and is found to be coeval with an Antarctic temperature maximum. Simulations using a thermal bipolar seesaw model agree reasonably well with the observed relative climate chronology in these two cores. They also reproduce three Antarctic warming events observed between A1 and A2.</t>
  </si>
  <si>
    <t>Univ Paris Sud, CNRS, Ctr Spectrometrie Nucl &amp; Spectrometrie Masse, IN2P3, F-91405 Orsay, France; CE Saclay, UMR CEA CNRS UVSQ, IPSL LSCE, F-91191 Gif Sur Yvette, France; Univ Bern, Inst Phys, CH-3012 Bern, Switzerland</t>
  </si>
  <si>
    <t>Universite Paris Saclay; Universite Paris Cite; Centre National de la Recherche Scientifique (CNRS); CNRS - National Institute of Nuclear and Particle Physics (IN2P3); Universite Paris Saclay; CEA; Centre National de la Recherche Scientifique (CNRS); University of Bern</t>
  </si>
  <si>
    <t>Raisbeck, GM (corresponding author), Univ Paris Sud, CNRS, Ctr Spectrometrie Nucl &amp; Spectrometrie Masse, IN2P3, Bat 108, F-91405 Orsay, France.</t>
  </si>
  <si>
    <t>raisbeck@csnsm.in2p3.fr</t>
  </si>
  <si>
    <t>Stocker, Thomas F/B-1273-2013</t>
  </si>
  <si>
    <t>10.5194/cp-3-541-2007</t>
  </si>
  <si>
    <t>WOS:000249785600015</t>
  </si>
  <si>
    <t>Huybrechts, P; Rybak, O; Pattyn, F; Ruth, U; Steinhage, D</t>
  </si>
  <si>
    <t>Huybrechts, P.; Rybak, O.; Pattyn, F.; Ruth, U.; Steinhage, D.</t>
  </si>
  <si>
    <t>Ice thinning, upstream advection, and non-climatic biases for the upper 89% of the EDML ice core from a nested model of the Antarctic ice sheet</t>
  </si>
  <si>
    <t>DRONNING MAUD-LAND; GLACIAL CYCLES; SEA-LEVEL; SURFACE ACCUMULATION; TEMPERATURE-CHANGES; TOPOGRAPHY; FLOW; CHRONOLOGY; GREENLAND; DEUTERIUM</t>
  </si>
  <si>
    <t>A nested ice flow model was developed for eastern Dronning Maud Land to assist with the dating and interpretation of the EDML deep ice core. The model consists of a high-resolution higher-order ice dynamic flow model that was nested into a comprehensive 3-D thermomechanical model of the whole Antarctic ice sheet. As the drill site is on a flank position the calculations specifically take into account the effects of horizontal advection as deeper ice in the core originated from higher inland. First the regional velocity field and ice sheet geometry is obtained from a forward experiment over the last 8 glacial cycles. The result is subsequently employed in a Lagrangian backtracing algorithm to provide particle paths back to their time and place of deposition. The procedure directly yields the depth-age distribution, surface conditions at particle origin, and a suite of relevant parameters such as initial annual layer thickness. This paper discusses the method and the main results of the experiment, including the ice core chronology, the non-climatic corrections needed to extract the climatic part of the signal, and the thinning function. The focus is on the upper 89% of the ice core (appr. 170 kyears) as the dating below that is increasingly less robust owing to the unknown value of the geothermal heat flux. It is found that the temperature biases resulting from variations of surface elevation are up to half of the magnitude of the climatic changes themselves.</t>
  </si>
  <si>
    <t>[Huybrechts, P.] Vrije Univ Brussel, Dept Geog, B-1050 Brussels, Belgium; [Huybrechts, P.; Rybak, O.; Ruth, U.; Steinhage, D.] Alfred Wegener Inst Polar &amp; Marine Res, D-27515 Bremerhaven, Germany; [Rybak, O.] Russian Acad Sci, Ctr Sci Res, Soci 354000, Russia; [Pattyn, F.] Univ Libre Bruxelles, Lab Glaciol Polaire, DSTE, B-1050 Brussels, Belgium</t>
  </si>
  <si>
    <t>Vrije Universiteit Brussel; Helmholtz Association; Alfred Wegener Institute, Helmholtz Centre for Polar &amp; Marine Research; Russian Academy of Sciences; Universite Libre de Bruxelles</t>
  </si>
  <si>
    <t>Huybrechts, P (corresponding author), Vrije Univ Brussel, Dept Geog, Pleinlaan 2, B-1050 Brussels, Belgium.</t>
  </si>
  <si>
    <t>phuybrec@vub.ac.be</t>
  </si>
  <si>
    <t>Rybak, Oleg/AAQ-8467-2020; Rybak, Oleg/B-7308-2014; Pattyn, Frank/AAA-9640-2019; Huybrechts, Philippe/J-5278-2013</t>
  </si>
  <si>
    <t>Rybak, Oleg/0000-0002-7234-0544; Rybak, Oleg/0000-0003-3923-7163; Pattyn, Frank/0000-0003-4805-5636; Huybrechts, Philippe/0000-0003-1406-0525</t>
  </si>
  <si>
    <t>10.5194/cp-3-577-2007</t>
  </si>
  <si>
    <t>246HT</t>
  </si>
  <si>
    <t>WOS:000251998800002</t>
  </si>
  <si>
    <t>Kassens, H; Thiede, J; Bauch, HA; Hoelemann, JA; Dmitrenko, I; Pivovarov, S; Priamikov, S; Timokhov, L; Wegner, C</t>
  </si>
  <si>
    <t>Harff, J; Hay, WW; Tetzlaff, DM</t>
  </si>
  <si>
    <t>Kassens, H.; Thiede, J.; Bauch, H. A.; Hoelemann, J. A.; Dmitrenko, I.; Pivovarov, S.; Priamikov, S.; Timokhov, L.; Wegner, C.</t>
  </si>
  <si>
    <t>The Laptev Sea system since the last glacial</t>
  </si>
  <si>
    <t>COASTLINE CHANGES: INTERRELATION OF CLIMATE AND GEOLOGICAL PROCESSES</t>
  </si>
  <si>
    <t>Geological Society of America Special Papers</t>
  </si>
  <si>
    <t>Symposium on Environmental Geology held at the 32nd International Geological Congress</t>
  </si>
  <si>
    <t>AUG 20-28, 2004</t>
  </si>
  <si>
    <t>Florence, ITALY</t>
  </si>
  <si>
    <t>Arctic shelf sea; River Lena; flaw polynya; permafrost</t>
  </si>
  <si>
    <t>ARCTIC-OCEAN; THERMOHALINE CIRCULATION; TRANSPORT PATHWAYS; SUBSEA PERMAFROST; SIBERIAN MARGIN; SEDIMENT EXPORT; TRACE-METALS; ICE COVER; SHELF; PATTERNS</t>
  </si>
  <si>
    <t>There is growing concern about the rapidity and extent of climate change in recent decades in the Arctic. The changes already evident in the Arctic, such as the cyclonic shift in the distribution of Atlantic and Pacific water masses, atmospheric pressure and winds, as well as the thinning and retreat of the sea ice, will be felt first and most dramatically around the circum-Arctic shelves, which comprise nearly 50% of the area of the Arctic Ocean. In this context, the Laptev Sea and its Siberian hinterland are of particular interest because of their distance both from the Atlantic and Pacific Oceans. River discharge into the Laptev Sea constitutes a key source for the Arctic freshwater input, and it generates a shallow brackish layer on top of the halocline. The shallow Laptev Sea shelf is a major area of sea-ice production that links the Siberian shelves of the Arctic Ocean with the Nordic seas. During the Last Glacial Maximum, most of these shelves were above sea level and developed thick permafrost sequences; today they are submarine, after having experienced the postglacial late Pleistocene and Holocene transgression. The history of the submarine permafrost and its modern state of decay are largely unknown.</t>
  </si>
  <si>
    <t>[Kassens, H.; Wegner, C.] Leibniz Inst Marine Sci, Wischhofstr 1-3, D-24148 Kiel, Germany; [Thiede, J.; Hoelemann, J. A.] Alfred Wegener Inst Polar &amp; Marine Res, Bremerhaven, Germany; [Bauch, H. A.] Mainz Acad Sci Humanities &amp; Literature, Mainz, Germany; [Dmitrenko, I.] Univ Alaska, IARC, Fairbanks, AK 99701 USA; [Pivovarov, S.; Priamikov, S.; Timokhov, L.] Arctic &amp; Antarctic Res Inst, St Petersburg, Russia</t>
  </si>
  <si>
    <t>Helmholtz Association; GEOMAR Helmholtz Center for Ocean Research Kiel; Helmholtz Association; Alfred Wegener Institute, Helmholtz Centre for Polar &amp; Marine Research; University of Alaska System; University of Alaska Fairbanks; Arctic &amp; Antarctic Research Institute</t>
  </si>
  <si>
    <t>Kassens, H (corresponding author), Leibniz Inst Marine Sci, Wischhofstr 1-3, D-24148 Kiel, Germany.</t>
  </si>
  <si>
    <t>Thiede, Jörn JT/J-5313-2013; Hoelemann, Jens/N-3608-2016</t>
  </si>
  <si>
    <t>Hoelemann, Jens/0000-0001-5102-4086</t>
  </si>
  <si>
    <t>German Ministry of Science and Technology; Russian Ministry of Science and Technology [LAPEX, BMBF 52503G0517, BMBF 03PL009, BMBF 03G0569, BMBF 03PLO26, BMBF 03PLO37, BMBF 03G0589]</t>
  </si>
  <si>
    <t>German Ministry of Science and Technology; Russian Ministry of Science and Technology</t>
  </si>
  <si>
    <t>We wish to thank the German and Russian Ministries of Science and Technology for their financial and logistic support (LAPEX, BMBF 52503G0517, BMBF 03PL009, BMBF 03G0569, BMBF 03PLO26, BMBF 03PLO37, BMBF 03G0589). Comments by two anonymous reviewers were very helpful in improving the manuscript.</t>
  </si>
  <si>
    <t>GEOLOGICAL SOC AMER INC</t>
  </si>
  <si>
    <t>BOULDER</t>
  </si>
  <si>
    <t>3300 PENROSE PL, PO BOX 9140, BOULDER, CO 80301 USA</t>
  </si>
  <si>
    <t>0072-1077</t>
  </si>
  <si>
    <t>978-0-8137-2426-3</t>
  </si>
  <si>
    <t>GEOL SOC AM SPEC PAP</t>
  </si>
  <si>
    <t>10.1130/2007.2426(06)</t>
  </si>
  <si>
    <t>Geology; Geosciences, Multidisciplinary; Meteorology &amp; Atmospheric Sciences; Oceanography</t>
  </si>
  <si>
    <t>Geology; Meteorology &amp; Atmospheric Sciences; Oceanography</t>
  </si>
  <si>
    <t>BMF23</t>
  </si>
  <si>
    <t>WOS:000272080100006</t>
  </si>
  <si>
    <t>Lubin, D; Massom, R</t>
  </si>
  <si>
    <t>Lubin, Dan; Massom, Robert</t>
  </si>
  <si>
    <t>Remote sensing of Earth's polar regions - Opportunities for computational science</t>
  </si>
  <si>
    <t>COMPUTING IN SCIENCE &amp; ENGINEERING</t>
  </si>
  <si>
    <t>SEA-ICE; ARCTIC OSCILLATION; CLIMATE-CHANGE; TEMPERATURE; OZONE; COVER</t>
  </si>
  <si>
    <t>Polar remote sensing offers numerous opportunities for computer scientists, including spacecraft design and data processing, the development of algorithms for geophysical product retrieval, operational assistance for aircraft and ship navigation, and database management at national archives.</t>
  </si>
  <si>
    <t>Univ Calif San Diego, Scripps Inst Oceanog, La Jolla, CA 92093 USA; Australian Govt Antarctic Div, Canberra, ACT, Australia; Antarctic Climate &amp; Ecosyst Cooperat Res Ctr, Hobart, Tas, Australia</t>
  </si>
  <si>
    <t>University of California System; University of California San Diego; Scripps Institution of Oceanography; Australian Antarctic Division; Antarctic Climate &amp; Ecosystems Cooperative Research Centre (ACE CRC)</t>
  </si>
  <si>
    <t>Lubin, D (corresponding author), Univ Calif San Diego, Scripps Inst Oceanog, La Jolla, CA 92093 USA.</t>
  </si>
  <si>
    <t>dlubin@ucsd.edu; r.massom@utas.edu.au</t>
  </si>
  <si>
    <t>Massom, Robert/0000-0003-1533-5084</t>
  </si>
  <si>
    <t>IEEE COMPUTER SOC</t>
  </si>
  <si>
    <t>LOS ALAMITOS</t>
  </si>
  <si>
    <t>10662 LOS VAQUEROS CIRCLE, PO BOX 3014, LOS ALAMITOS, CA 90720-1314 USA</t>
  </si>
  <si>
    <t>1521-9615</t>
  </si>
  <si>
    <t>COMPUT SCI ENG</t>
  </si>
  <si>
    <t>Comput. Sci. Eng.</t>
  </si>
  <si>
    <t>10.1109/MCSE.2007.16</t>
  </si>
  <si>
    <t>Computer Science, Interdisciplinary Applications</t>
  </si>
  <si>
    <t>Computer Science</t>
  </si>
  <si>
    <t>119FI</t>
  </si>
  <si>
    <t>WOS:000242997800010</t>
  </si>
  <si>
    <t>Kingston, JJ; Gwilliam, J</t>
  </si>
  <si>
    <t>Kingston, J. J.; Gwilliam, J.</t>
  </si>
  <si>
    <t>Hybridization between two sympatrically breeding species of fur seal at Iles Crozet revealed by genetic analysis</t>
  </si>
  <si>
    <t>CONSERVATION GENETICS</t>
  </si>
  <si>
    <t>fur seals; hybridization; microsatellites; mtDNA; assignment test; Arctocephalus</t>
  </si>
  <si>
    <t>PRINCE-EDWARD-ISLANDS; ARCTOCEPHALUS-GAZELLA; POPULATION-STRUCTURE; MITOCHONDRIAL-DNA; MARION-ISLAND; REPRODUCTIVE ISOLATION; CANIS-RUFUS; RED WOLVES; INTROGRESSION; TROPICALIS</t>
  </si>
  <si>
    <t>Introgressive hybridization occurs when closely related taxa overlap in distribution and is often associated with historically isolated populations coming into contact as a result of anthropogenic disturbance. There is evolutionary and conservation interest in detecting hybridization to determine its implications on future species composition, especially for threatened and recovering taxa such as subantarctic (Arctocephalus tropicalis) and Antarctic (A. gazella) fur seals, which were driven to the brink of extinction by human exploitation. Hybridization between these species has been reported at two locations and they breed sympatrically at a third site, Iles Crozet. While hybrid individuals have previously been identified based on phenotype, individuals can be difficult to classify based on these characteristics alone. Genotypic hybrid identification has been successful in several species, including fur seals. In this study we conducted an assignment test using microsatellite data to identify hybrids and to measure the frequency of hybridization at lies Crozet. Samples were collected from 372 individuals and screened with 6 polymorphic microsatellite markers. MtDNA genotypes were also determined for individuals identified as hybrids or backcrosses based on microsatellite genotype. Phenotype, microsatellite and mtDNA genotype were then compared in order to identify hybrids. The results indicate that 1% of the population have hybrid genotypes and at a minimum, 2.4% of the population are backcrossed to parental species. We found that the two species are genetically distinct from one another and given the low rate of hybridization it is unlikely that they will fuse. These results suggest that there is a mechanism for species recognition that acts as a barrier to hybridization. It therefore seems unlikely that fur seals are threatened by significant introgression. Further investigation of fur seal mating systems would provide valuable insight into the mechanisms governing hybridization and species recognition in mate choice.</t>
  </si>
  <si>
    <t>Univ New S Wales, Sch BEES, Sydney, NSW 2052, Australia; Macquarie Univ, Dept Sci Biol, Marine Mammal Res Grp, Sydney, NSW 2109, Australia</t>
  </si>
  <si>
    <t>University of New South Wales Sydney; Macquarie University</t>
  </si>
  <si>
    <t>Kingston, JJ (corresponding author), Univ New S Wales, Sch BEES, Sydney, NSW 2052, Australia.</t>
  </si>
  <si>
    <t>jen.kingston@unsw.edu.au</t>
  </si>
  <si>
    <t>Sinclair, Jennifer/C-4625-2008</t>
  </si>
  <si>
    <t>VAN GODEWIJCKSTRAAT 30, 3311 GZ DORDRECHT, NETHERLANDS</t>
  </si>
  <si>
    <t>1566-0621</t>
  </si>
  <si>
    <t>1572-9737</t>
  </si>
  <si>
    <t>CONSERV GENET</t>
  </si>
  <si>
    <t>Conserv. Genet.</t>
  </si>
  <si>
    <t>10.1007/s10592-006-9269-8</t>
  </si>
  <si>
    <t>Biodiversity Conservation; Genetics &amp; Heredity</t>
  </si>
  <si>
    <t>Biodiversity &amp; Conservation; Genetics &amp; Heredity</t>
  </si>
  <si>
    <t>201RQ</t>
  </si>
  <si>
    <t>WOS:000248850700012</t>
  </si>
  <si>
    <t>Reading, AM</t>
  </si>
  <si>
    <t>Stein, S; Mazzotti, S</t>
  </si>
  <si>
    <t>Reading, Anya M.</t>
  </si>
  <si>
    <t>The seismicity of the Antarctic plate</t>
  </si>
  <si>
    <t>CONTINENTAL INTRAPLATE EARTHQUAKES: SCIENCE, HAZARD, AND POLICY ISSUES</t>
  </si>
  <si>
    <t>Antarctic; seismicity; passive margin; glacial isostatic adjustment; magnitude threshold</t>
  </si>
  <si>
    <t>INTRAPLATE SEISMICITY; LAKE VOSTOK; ICE-SHEET; MARCH 25; EARTHQUAKES; STRESS; DEFORMATION; EVOLUTION; CRUSTAL; RIDGE</t>
  </si>
  <si>
    <t>Earthquake occur in Antarctica. The previously held notion that Antarctica is essentially aseismic has been disproved by using records from established Global Seismic Network stations and recently deployed temporary stations on the Antarctic continent. However, the seismicity observed in Antarctica is very low in comparison with other continental intraplate regions. This contribution critically reviews magnitude threshold levels for recorded earthquakes and the available earthquake hypocenter data fro Antarctica and the surrounding oceans. Patterns are identified in the distribution of Antarctic earthquakes and the deformation of the Antarctic plate, and the interplay between tectonic and ice-related forces controlling this distribution is discussed. In the continental intraplate region of Antarctica, earthquakes occur in three settings. Two are likely to have distributions with a tectonic control (although the level may be suppressed by ice cover)-those in the Transantarctic Mountains and scattered events in the interior. Finally, seismicity in the coastal zone and continental margin is likely to be most strongly controlled by the interaction between glacial isostatic adjustment and lithospheric thickness, with a regional tectonic component in some locations.</t>
  </si>
  <si>
    <t>Univ Tasmania, Sch Earth Sci, Hobart, Tas 7001, Australia</t>
  </si>
  <si>
    <t>University of Tasmania</t>
  </si>
  <si>
    <t>Reading, AM (corresponding author), Univ Tasmania, Sch Earth Sci, Private Bag 79, Hobart, Tas 7001, Australia.</t>
  </si>
  <si>
    <t>anya.reading@cutas.edu.au</t>
  </si>
  <si>
    <t>Reading, Anya M/E-6728-2012</t>
  </si>
  <si>
    <t>Reading, Anya M/0000-0002-9316-7605</t>
  </si>
  <si>
    <t>978-0-8137-2425-6</t>
  </si>
  <si>
    <t>10.1130/2007.2425(18)</t>
  </si>
  <si>
    <t>Geology; Geosciences, Multidisciplinary</t>
  </si>
  <si>
    <t>BMO44</t>
  </si>
  <si>
    <t>WOS:000273098500019</t>
  </si>
  <si>
    <t>Kawahara, H; Iwanaka, Y; Higa, S; Muryoi, N; Sato, M; Honda, M; Omura, H; Obata, H</t>
  </si>
  <si>
    <t>Kawahara, Hidehisa; Iwanaka, Yoshiko; Higa, Sakura; Muryoi, Naomi; Sato, Mika; Honda, Michinori; Omura, Hironori; Obata, Hitoshi</t>
  </si>
  <si>
    <t>A novel, intracellular antifreeze protein in an Antarctic bacterium, Flavobacterium xanthum</t>
  </si>
  <si>
    <t>CRYOLETTERS</t>
  </si>
  <si>
    <t>Flavobacterium xanthum IAM12026; antifreeze protein; thermal hysteresis; ice recrystallization-inhibiting activity</t>
  </si>
  <si>
    <t>THERMAL HYSTERESIS PROTEINS; ICE; GROWTH; CARROT</t>
  </si>
  <si>
    <t>One strain of Antarctic bacteria, Flavobacterium xanthum IAM 12026, has a highly active antifreeze protein (AFP) in the intracellular space. The cell-free extract from strain IAM12026 after culturing at 4 degrees C for 7 days in TSB medium, had activity of 0.04 degrees C at a concentration of 0.7 mg/ml. The ice crystals formed do not have distinct facets without typically rounded shape and the changes of their morphology during the course of the thermal hysteresis (TH) measurement. The ice crystal 'burst' occurring at the end-point of the TH is dendritic with hexagonal symmetry Also, this activity was not affected by the treatment of dialysis and the addition of EDTA. Furthermore, this cell-free extract had high levels of ice recrystallization-inhibiting (RI) activity like those of Fish AFPs. The AFP (F1AFP) was homogeneity purified using chromatography A relative molecular mass of approximately 59,000 was calculated from gel filtration and SDS-PAGE data. The thermal stability of F1AFP was below 50 degrees C, and TH value was absent above 60 degrees C. The TH value of F1AFP was activated at 5.2 degrees C by the addition of 0.5 M malate. This activation was decreased with increasing protein concentration. To our knowledge this is the first report on the high level of TH and RI activities of bacterial intracellular AFP.</t>
  </si>
  <si>
    <t>Kansai Univ, Fac Engn, Dept Biotechnol, Suita, Osaka 5648680, Japan; Ikeda Food Res Co Ltd, Fukuyama, Hiroshima 7210956, Japan</t>
  </si>
  <si>
    <t>Kansai University</t>
  </si>
  <si>
    <t>Kawahara, H (corresponding author), Kansai Univ, Fac Engn, Dept Biotechnol, 3-3-35 Yamate Cho, Suita, Osaka 5648680, Japan.</t>
  </si>
  <si>
    <t>kawahara@ipcku.kansai-u.ac.jp</t>
  </si>
  <si>
    <t>CRYO LETTERS</t>
  </si>
  <si>
    <t>LONDON</t>
  </si>
  <si>
    <t>C/O ROYAL VETERINARY COLLEGE, ROYAL COLLEGE ST, LONDON NW1 0TU, ENGLAND</t>
  </si>
  <si>
    <t>0143-2044</t>
  </si>
  <si>
    <t>1742-0644</t>
  </si>
  <si>
    <t>CryoLetters</t>
  </si>
  <si>
    <t>Biology; Physiology</t>
  </si>
  <si>
    <t>Life Sciences &amp; Biomedicine - Other Topics; Physiology</t>
  </si>
  <si>
    <t>152VZ</t>
  </si>
  <si>
    <t>WOS:000245391400005</t>
  </si>
  <si>
    <t>Wharton, DA; Wilson, PW; Mutch, JS; Marshall, CJ; Lim, M</t>
  </si>
  <si>
    <t>Wharton, David A.; Wilson, Peter W.; Mutch, Jodi S.; Marshall, Craig J.; Lim, Miang</t>
  </si>
  <si>
    <t>Recrystallization inhibition assessed by splat cooling and optical recrystallometry</t>
  </si>
  <si>
    <t>ice; recrystallization; splat freezing; antifreeze protein</t>
  </si>
  <si>
    <t>THERMAL HYSTERESIS PROTEINS; STABLE ANTIFREEZE PROTEIN; PANAGROLAIMUS-DAVIDI; ANTARCTIC-NEMATODE; ICE; PLANT; GRASS</t>
  </si>
  <si>
    <t>Levels of recrystallization have been measured by two distinct techniques; a splat cooling assay and a new device, an optical recrystallometer, which measures the change in light transmittance through a frozen sample. Both techniques indicate the presence of recrystallization inhibitors in a grass extract and in other samples. The advantages of each method of measuring recrystallization are discussed.</t>
  </si>
  <si>
    <t>Univ Otago, Dept Zool, Dunedin, New Zealand; Univ Otago, Dept Phys, Dunedin, New Zealand; Univ Otago, Dept Biochem, Dunedin, New Zealand; Univ Otago, Dept Food Sci, Dunedin, New Zealand</t>
  </si>
  <si>
    <t>University of Otago; University of Otago; University of Otago; University of Otago</t>
  </si>
  <si>
    <t>Wharton, DA (corresponding author), Univ Otago, Dept Zool, POB 56, Dunedin, New Zealand.</t>
  </si>
  <si>
    <t>david.wharton@stonebow.otago.ac.nz</t>
  </si>
  <si>
    <t>Wilson, Peter W/E-9174-2010; Wilson, Peter W.F./J-2455-2016; Marshall, Craig J./C-6668-2009; Wilson, Peter/AAT-6428-2020</t>
  </si>
  <si>
    <t>Marshall, Craig J./0000-0003-4186-0368; Wilson, Peter/0000-0002-1535-6398; Wharton, David/0000-0001-6369-4984</t>
  </si>
  <si>
    <t>WOS:000245391400007</t>
  </si>
  <si>
    <t>Caquard, S; Pulsifer, P; Fiset, JP; Taylor, DRF</t>
  </si>
  <si>
    <t>Caquard, Sebastien; Pulsifer, Peter; Fiset, Jean-Pierre; Taylor, D. R. Fraser</t>
  </si>
  <si>
    <t>Introducting the Concept of a Cybercartographic Act: The Creation of a Cybercartographic Atlas</t>
  </si>
  <si>
    <t>CYBERGEO-EUROPEAN JOURNAL OF GEOGRAPHY</t>
  </si>
  <si>
    <t>French</t>
  </si>
  <si>
    <t>antarctic; atlas; cybercartography; Internet; photography</t>
  </si>
  <si>
    <t>MAPS</t>
  </si>
  <si>
    <t>Cybercartography aims to rethink the way we design, use and disseminate maps on the Internet. It represents an interdisciplinary approach combining art and science, technological change and critical perspectives. This original approach is introduced in this paper through the presentation of the genesis of the Cybercartographic Atlas of Antarctica. This presentation illustrates the main characteristics of cybercartographic atlases: multisensory function, interoperability, modularity and ability to evolve. This presentation generates a discussion about the importance of rethinking the cybercartographic artifact as the outcome of a complex and subjective production process. Drawing on similar works done in different fields such as photography, the concept of cybercartographic act is then proposed to demonstrate that the artifact is inseparable from the act of which it is the result and that cybermaps could depict this association.</t>
  </si>
  <si>
    <t>[Caquard, Sebastien; Pulsifer, Peter; Fiset, Jean-Pierre; Taylor, D. R. Fraser] Carleton Univ, GCRC, Dept Geog &amp; Environm Studies, Ottawa, ON, Canada</t>
  </si>
  <si>
    <t>Carleton University</t>
  </si>
  <si>
    <t>Caquard, S (corresponding author), Carleton Univ, GCRC, Dept Geog &amp; Environm Studies, Ottawa, ON, Canada.</t>
  </si>
  <si>
    <t>scaquard@connect.carleton.ca; ppulsife@connect.carleton.ca; jp.fiset@ClassOne-Tech.com; ftaylor@connect.carleton.ca</t>
  </si>
  <si>
    <t>CYBERGEO</t>
  </si>
  <si>
    <t>PARIS</t>
  </si>
  <si>
    <t>13 RUE DU FOUR, PARIS, 75006, FRANCE</t>
  </si>
  <si>
    <t>1278-3366</t>
  </si>
  <si>
    <t>CyberGeo</t>
  </si>
  <si>
    <t>10.4000/cybergeo.22420</t>
  </si>
  <si>
    <t>Geography</t>
  </si>
  <si>
    <t>V2R2M</t>
  </si>
  <si>
    <t>WOS:000217837900068</t>
  </si>
  <si>
    <t>New, AL; Alderson, SG; Smeed, DA; Stansfield, KL</t>
  </si>
  <si>
    <t>New, A. L.; Alderson, S. G.; Smeed, D. A.; Stansfield, K. L.</t>
  </si>
  <si>
    <t>On the circulation of water masses across the Mascarene Plateau in the South Indian Ocean</t>
  </si>
  <si>
    <t>DEEP-SEA RESEARCH PART I-OCEANOGRAPHIC RESEARCH PAPERS</t>
  </si>
  <si>
    <t>circulation; water masses; mixing; South Equatorial Current; Mascarene Plateau; South Indian Ocean (5-20 degrees S; 55-65 degrees E)</t>
  </si>
  <si>
    <t>BOUNDARY CURRENTS EAST; HYDROGRAPHIC SECTION; MONSOON CIRCULATION; NORTH; TRANSPORT; ATLANTIC; DEEP; SEA; MADAGASCAR; TOPOGRAPHY</t>
  </si>
  <si>
    <t>The South Equatorial Current (SEC) is the major westward current in the South Indian Ocean. It crosses the Mascarene Plateau, an extensive range of banks and islands, near 60 degrees E, but how this occurs has until now been unclear. Here, we present the results of a recent survey during June-July 2002 using a suite of modern instrumentation, and provide a detailed examination of this process, and the water masses involved. Upstream from the Plateau the SEC carries 50-55 Sv (1 Sv = 10(6) m(3)/s) westwards between 10 and 16 degrees S. As it approaches the Plateau, 25 Sv of this is constricted to pass over a narrow sill (about which we provide new information) between the Saya De Malha and Nazareth Banks at 12-13 degrees S. This then forms a northern core to the SEC between 10 and 14 degrees S downstream from the Plateau (25 Sv). The remainder of the inflow passes either around the northern edge of the Saya De Malha Bank (8-9 degrees S) or between Mauritius and the Cargados Carajos Bank (18-20 degrees S). The former may retroflect to flow eastwards near 8 degrees S, joining the South Equatorial Counter Current (SECC), whereas the latter, strengthened near Mauritius by further flows from the south, forms a southern core to the SEC downstream from the Plateau (20-25 Sv between 17 and 20 degrees S). The overall effect of the Plateau is to split the SEC into two cores. On reaching Madagascar, these cores may then form the Northeast and Southeast Madagascar Currents. The SEC also forms a sharp boundary between upper and intermediate level water masses. Subtropical Surface Water (STSW), Sub-Antarctic Mode Water (SAMW) and Antarctic Intermediate Water (AAIW) are present on the southern side of the SEC, whereas Arabian Sea High Salinity Water (ASHSW) and Red Sea Water (RSW) are found on its northern side. As they approach the Plateau, the STSW and SAMW are partially drawn northwards, and Tropical Surface Water (TSW) is drawn southwards, in order to flow across the sill near 12-13 degrees S. At deeper levels, North Indian Deep Water (NIDW) passes southwards below the SEC on the western side of the Plateau, and while there is no indication of North Atlantic Deep Water, Antarctic Bottom Water (AABW) is present west of the Plateau. Finally, there is evidence of significant mixing in the upper and intermediate waters (the TSW, STSW, SAMW and RSW) as they pass across the sill at 12-13 degrees S, and also in the deeper waters on the eastern side of the Plateau above the rough bottom topography of the Central Indian Ridge. (c) 2006 Elsevier Ltd. All rights reserved.</t>
  </si>
  <si>
    <t>Natl Oceanog Ctr, European Way, Southampton SO14 3ZH, Hants, England</t>
  </si>
  <si>
    <t>University of Southampton; NERC National Oceanography Centre</t>
  </si>
  <si>
    <t>New, AL (corresponding author), Natl Oceanog Ctr, European Way, Southampton SO14 3ZH, Hants, England.</t>
  </si>
  <si>
    <t>a.new@noc.soton.ac.uk</t>
  </si>
  <si>
    <t>New, Adrian/JVZ-4824-2024; Smeed, David/B-4726-2012</t>
  </si>
  <si>
    <t>Smeed, David/0000-0003-1740-1778; New, Adrian/0000-0002-3159-8872</t>
  </si>
  <si>
    <t>NERC [soc010011, soc010007] Funding Source: UKRI; Natural Environment Research Council [soc010011, soc010007] Funding Source: researchfish</t>
  </si>
  <si>
    <t>NERC(UK Research &amp; Innovation (UKRI)Natural Environment Research Council (NERC)); Natural Environment Research Council(UK Research &amp; Innovation (UKRI)Natural Environment Research Council (NERC))</t>
  </si>
  <si>
    <t>0967-0637</t>
  </si>
  <si>
    <t>1879-0119</t>
  </si>
  <si>
    <t>DEEP-SEA RES PT I</t>
  </si>
  <si>
    <t>Deep-Sea Res. Part I-Oceanogr. Res. Pap.</t>
  </si>
  <si>
    <t>10.1016/j.dsr.2006.08.016</t>
  </si>
  <si>
    <t>Oceanography</t>
  </si>
  <si>
    <t>134XM</t>
  </si>
  <si>
    <t>WOS:000244117700003</t>
  </si>
  <si>
    <t>Fuiman, LA; Madden, KM; Williams, TM; Davis, RW</t>
  </si>
  <si>
    <t>Fuiman, Lee A.; Madden, Kiersten M.; Williams, Terrie M.; Davis, Randall W.</t>
  </si>
  <si>
    <t>Structure of foraging dives by Weddell seals at an offshore isolated hole in the Antarctic fast-ice environment</t>
  </si>
  <si>
    <t>DEEP-SEA RESEARCH PART II-TOPICAL STUDIES IN OCEANOGRAPHY</t>
  </si>
  <si>
    <t>2nd International Conference on Bio-logging Science</t>
  </si>
  <si>
    <t>JUN 13-16, 2005</t>
  </si>
  <si>
    <t>Univ St Andrews, St Andrews, SCOTLAND</t>
  </si>
  <si>
    <t>Univ St Andrews</t>
  </si>
  <si>
    <t>Weddell seal; foraging behaviour; hunting behaviour; energetics; Antarctica; McMurdo Sound</t>
  </si>
  <si>
    <t>3-DIMENSIONAL MOVEMENTS; DIVING BEHAVIOR; MARINE MAMMALS; SWIM-SPEED; CLASSIFICATION; CRITTERCAM; PROFILES; SYSTEM; COST</t>
  </si>
  <si>
    <t>Knowledge of the biology and ecology of diving animals has been constrained by the inability to make direct observations of their underwater behaviour. We deployed an animal-borne video and data recorder on 10 adult Weddell seals (Leptonychotes weddellii) near Ross Island, McMurdo Sound, Antarctica, during the austral spring, to examine the structure of foraging dives. Three-dimensional dive profiles for 109 foraging dives were reconstructed, and nine behavioural states were identified based on geometry of the travel path and changes in speed and stroking. Five kinds of prey-related events were identified using video imagery. Most foraging was in midwater; rarer benthic foraging dives were especially distinctive. Successful and unsuccessful midwater foraging dives did not differ in energetic cost, but benthic foraging dives required significantly more energy than midwater dives and approached the seal's aerobic dive limit. We described the dominant sequence of behaviours in successful midwater, unsuccessful midwater, and unsuccessful benthic foraging dives. We also examined the dominant sequence leading to the first prey encounter in a dive and found that it usually followed an ascent, which in turn followed descent and/or horizontal swimming. We confirmed that discontinuous trajectories in time-depth profiles occur during midwater prey encounter. There were two kinds of descent behaviour (descent and meandering descent), both with reduced stroking and a large amount of gliding, which appeared to be when searching occurred. There is also some indication that increased amounts of gliding during descent behaviours could increase the seal's ability to capture prey by reducing the amount of self-generated noise. These findings provide a baseline for comparison with entirely free-ranging seals and for more detailed study of foraging strategies of diving seals. (c) 2007 Elsevier Ltd. All rights reserved.</t>
  </si>
  <si>
    <t>Univ Texas, Inst Marine Sci, Dept Marine Sci, Port Aransas, TX 78373 USA; Univ Calif Santa Cruz, EMS A316, Dept Biol, Santa Cruz, CA 95064 USA; Texas A&amp;M Univ, Dept Marine Biol, Galveston, TX 77533 USA</t>
  </si>
  <si>
    <t>University of Texas System; University of California System; University of California Santa Cruz; Texas A&amp;M University System</t>
  </si>
  <si>
    <t>Fuiman, LA (corresponding author), Univ Texas, Inst Marine Sci, Dept Marine Sci, 750 Channel View Dr, Port Aransas, TX 78373 USA.</t>
  </si>
  <si>
    <t>lee@utmsi.utexas.edu</t>
  </si>
  <si>
    <t>Fuiman, Lee A/L-9514-2017</t>
  </si>
  <si>
    <t>0967-0645</t>
  </si>
  <si>
    <t>1879-0100</t>
  </si>
  <si>
    <t>DEEP-SEA RES PT II</t>
  </si>
  <si>
    <t>Deep-Sea Res. Part II-Top. Stud. Oceanogr.</t>
  </si>
  <si>
    <t>3-4</t>
  </si>
  <si>
    <t>10.1016/j.dsr2.2006.11.011</t>
  </si>
  <si>
    <t>158UN</t>
  </si>
  <si>
    <t>WOS:000245820500008</t>
  </si>
  <si>
    <t>Tinker, MT; Costa, DP; Estes, JA; Wieringa, N</t>
  </si>
  <si>
    <t>Tinker, M. T.; Costa, D. P.; Estes, J. A.; Wieringa, N.</t>
  </si>
  <si>
    <t>Individual dietary specialization and dive behaviour in the California sea otter: Using archival time-depth data to detect alternative foraging strategies</t>
  </si>
  <si>
    <t>data loggers; diets; diet specialization; foraging behaviour; statistical analysis</t>
  </si>
  <si>
    <t>ANTARCTIC FUR SEALS; PREY SELECTION; INTERINDIVIDUAL VARIATION; ARCTOCEPHALUS-GAZELLA; ROCKHOPPER PENGUINS; PATTERNS; VARIABILITY; POPULATION; MOVEMENT; PREDATOR</t>
  </si>
  <si>
    <t>The existence of individual prey specializations has been reported for an ever-growing number of taxa, and has important ramifications for our understanding of predator-prey dynamics. We use the California sea otter population as a case study to validate the use of archival time-depth data to detect and measure differences in foraging behaviour and diet. We collected observational foraging data from radio-tagged sea otters that had been equipped with Mk9 time depth recorders (TDRs, Wildlife Computers, Redmond, WA). After recapturing the study animals and retrieving the TDRs it was possible to compare the two data types, by matching individual dives from the TDR record with observational data and thus examining behavioural correlates of capture success and prey species. Individuals varied with respect to prey selection, aggregating into one of three distinct dietary specializations. A number of TDR-derived parameters, particularly dive depth and post-dive surface interval, differed predictably between specialist types. A combination of six dive parameters was particularly useful for discriminating between specialist types, and when incorporated into a multivariate cluster analysis, these six parameters resulted in classification of 13 adult female sea otters into three clusters that corresponded almost perfectly to the diet-based classification (1 out of 13 animals was misclassified). Thus based solely on quantifiable traits of time-depth data that have been collected over an appropriate period (in this case 1 year per animal), it was possible to assign female sea otters to diet type with &gt; 90% accuracy. TDR data can thus be used as a toot to measure the degree of individual specialization in sea otter populations, a conclusion that will likely apply to other diving marine vertebrates as well. Our ultimate goals must be both to understand the causes of individual specialization, and to incorporate such variation into models of population- and community-level food web dynamics. (c) 2007 Elsevier Ltd. All rights reserved.</t>
  </si>
  <si>
    <t>Univ Calif Santa Cruz, Long Marine Lab, Dept Ecol &amp; Evolut Biol, Santa Cruz, CA 95060 USA; US Geol Survey, Western Ecol Res Ctr, Long Marine Lab, Santa Cruz, CA 95060 USA; Univ Amsterdam, Dept Aquat Microbiol, IBED, NL-1018 WS Amsterdam, Netherlands</t>
  </si>
  <si>
    <t>University of California System; University of California Santa Cruz; United States Department of the Interior; United States Geological Survey; University of Amsterdam</t>
  </si>
  <si>
    <t>Tinker, MT (corresponding author), Univ Calif Santa Cruz, Long Marine Lab, Dept Ecol &amp; Evolut Biol, 100 Shaffer Rd, Santa Cruz, CA 95060 USA.</t>
  </si>
  <si>
    <t>tinker@biology.ucsc.edu</t>
  </si>
  <si>
    <t>Tinker, Martin T/F-1277-2011; Carlos, Universidade Federal de São/W-8832-2019; Costa, Daniel Paul/E-2616-2013; Tinker, Martin/D-3249-2018</t>
  </si>
  <si>
    <t>Carlos, Universidade Federal de São/0000-0002-0334-3899; Costa, Daniel Paul/0000-0002-0233-5782; Tinker, Martin/0000-0002-3314-839X</t>
  </si>
  <si>
    <t>10.1016/j.dsr2.2006.11.012</t>
  </si>
  <si>
    <t>WOS:000245820500013</t>
  </si>
  <si>
    <t>Bailleul, F; Charrassin, JB; Ezraty, R; Girard-Ardhuin, F; McMahon, CR; Field, IC; Guinet, C</t>
  </si>
  <si>
    <t>Bailleul, Frederic; Charrassin, Jean-Benoit; Ezraty, Robert; Girard-Ardhuin, Fanny; McMahon, Clive R.; Field, Iain C.; Guinet, Chrisstophe</t>
  </si>
  <si>
    <t>Southern elephant seals from Kerguelen Islands confronted by Antarctic Sea ice. Changes in movements and in diving behaviour</t>
  </si>
  <si>
    <t>marine ecology; temperature profiles; benthic environnient; pelagic environment; diving behaviour; Mirounga leonina</t>
  </si>
  <si>
    <t>MIROUNGA-LEONINA; ADULT MALE; OCEAN; CLASSIFICATION; SEABIRDS; WATER; FIELD</t>
  </si>
  <si>
    <t>The behaviour of southern elephant seals from Kerguelen Island (49 degrees 50'S, 70 degrees 30'E) was investigated in relation to the oceanographic regions of the Southern Ocean. The oceanographic and the seal behaviour data, including location and diving activity, were collected using a new generation of satellite-relayed devices measuring and transmitting pressure, temperature, and salinity along with locations. Dive duration, maximum diving depth, time spent at the bottom of the dives, and shape of dive profiles were compared between male and female seals, and were related to the oceanographic characteristics of areas prospected by the seals. Most animals travelled to the Antarctic shelf. However, during winter, adult females travelled away from the continent, remained and foraged within the marginal sea-ice zone, while juvenile males remained within the pack ice to forage mainly on the Antarctic shelf. Therefore, as the ice expanded females appeared to shift from benthic to pelagic foraging farther north, while males continued to forage almost exclusively benthically on the continental shelf. This difference is likely related to the different energetic requirements between the two sexes, but also may be related to pregnant females having to return to Kerguelen in early spring in order to give birth and successfully raise their pups, while males can remain in the ice. Our results show an important link between elephant seals and Antarctic sea ice and suggest that changes in sea-ice conditions could strongly affect the behaviour of this species. (c) 2007 Published by Elsevier Ltd.</t>
  </si>
  <si>
    <t>CNRS, Ctr Etudes Biol Chizes, F-79360 Villiers En Bois, France; Museum Natl Hist Nat, DMPA, Equipe Phys Ocean Austral, Paris, France; IFREMER, Lab Oceanog spatiale, F-29280 Plouzane, France; Ctr Natl Etud Spatiales, F-75001 Paris, France; Univ Tasmania, Sch Zool, Antarctic Wildlife Res Unit, Hobart, Tas 7001, Australia</t>
  </si>
  <si>
    <t>Centre National de la Recherche Scientifique (CNRS); Museum National d'Histoire Naturelle (MNHN); Ifremer; University of Tasmania</t>
  </si>
  <si>
    <t>Bailleul, F (corresponding author), CNRS, Ctr Etudes Biol Chizes, F-79360 Villiers En Bois, France.</t>
  </si>
  <si>
    <t>bailleul@cebc.cnrs.fr</t>
  </si>
  <si>
    <t>Girard-Ardhuin, Fanny/L-4153-2015; Girard-Ardhuin, Fanny/AAE-9430-2019; McMahon, Clive R/D-5713-2013; Guinet, Christophe/AAR-8457-2020; Field, Iain C/D-3934-2009</t>
  </si>
  <si>
    <t>Girard-Ardhuin, Fanny/0000-0001-7819-7665; Girard-Ardhuin, Fanny/0000-0001-7819-7665; McMahon, Clive R/0000-0001-5241-8917; Bailleul, Frederic/0000-0002-4186-4708</t>
  </si>
  <si>
    <t>10.1016/j.dsr2.2006.11.005</t>
  </si>
  <si>
    <t>Green Published</t>
  </si>
  <si>
    <t>WOS:000245820500014</t>
  </si>
  <si>
    <t>Robinson, PW; Tremblay, Y; Crocker, DE; Kappes, MA; Kuhn, CE; Shaffer, SA; Simmons, SE; Costa, DP</t>
  </si>
  <si>
    <t>Robinson, P. W.; Tremblay, Y.; Crocker, D. E.; Kappes, M. A.; Kuhn, C. E.; Shaffer, S. A.; Simmons, S. E.; Costa, D. P.</t>
  </si>
  <si>
    <t>A comparison of indirect measures of feeding behaviour based on ARGOS tracking data</t>
  </si>
  <si>
    <t>ARGOS; elephant seal; Laysan albatross; tracking; first passage time; fractal</t>
  </si>
  <si>
    <t>ANTARCTIC FUR SEALS; SOUTHERN ELEPHANT SEALS; AREA-RESTRICTED SEARCH; FORAGING ECOLOGY; HABITAT USE; ARCTOCEPHALUS-GAZELLA; SATELLITE-TRACKING; MOVEMENT PATTERNS; LOCATION ACCURACY; PELAGIC SEABIRDS</t>
  </si>
  <si>
    <t>ARGOS tracking data are frequently used to infer feeding locations of marine predators. Most track-based methods rely on the assumption that feeding takes place within regions of area-restricted search (ARS); however, it is unclear whether the spatial accuracy and temporal resolution of ARGOS-quality data are sufficient to extract the location of ARSs at the resolution of individual feeding bouts. Using ARGOS tracking data from northern elephant seals (Mirounga angustirostris) and Laysan albatrosses (Phoebastria immutabilis), we tested several track-based estimators of feeding locations against independent feeding proxies (dive type or shape and number of landing events). The track-based methods were: turn angle, transit rate, first-passage time, and fractal dimension. None of these methods provided a reliable estimate of putative feeding activity at the species level, as measured by dive-type analysis or landing events. At the individual level, variation in agreement between track-based estimates and feeding proxies highlighted the importance of considering the effect of spatial scale. Biological justification of track-based metrics should be more carefully assessed before assigning particular functions to individual tracks (feeding/foraging/searching/ transit) or groups of tracks (biological hotspots). (c) 2007 Elsevier Ltd. All rights reserved.</t>
  </si>
  <si>
    <t>Univ Calif Santa Cruz, Dept Ecol &amp; Evolut Biol, Santa Cruz, CA 95060 USA; Sonoma State Univ, Dept Biol, Rohnert Pk, CA 94928 USA</t>
  </si>
  <si>
    <t>University of California System; University of California Santa Cruz; California State University System; Sonoma State University</t>
  </si>
  <si>
    <t>Robinson, PW (corresponding author), Univ Calif Santa Cruz, Dept Ecol &amp; Evolut Biol, 100 Shaffer Rd, Santa Cruz, CA 95060 USA.</t>
  </si>
  <si>
    <t>robinson@biology.ucsc.edu</t>
  </si>
  <si>
    <t>Carlos, Universidade Federal de São/W-8832-2019; Kappes, Michelle/B-7139-2008; Costa, Daniel Paul/E-2616-2013; Shaffer, Scott/D-5015-2009</t>
  </si>
  <si>
    <t>Carlos, Universidade Federal de São/0000-0002-0334-3899; Costa, Daniel Paul/0000-0002-0233-5782; Simmons, Samantha/0000-0003-0326-6990; Shaffer, Scott/0000-0002-7751-5059; Kuhn, Carey/0000-0002-6835-9744</t>
  </si>
  <si>
    <t>10.1016/j.dsr2.2006.11.020</t>
  </si>
  <si>
    <t>WOS:000245820500015</t>
  </si>
  <si>
    <t>Hassrick, JL; Crocker, DE; Zeno, RL; Blackwell, SB; Costa, DP; Le Boeuf, BJ</t>
  </si>
  <si>
    <t>Hassrick, Jason L.; Crocker, Daniel E.; Zeno, Ramona L.; Blackwell, Susanna B.; Costa, Daniel P.; Le Boeuf, Burney J.</t>
  </si>
  <si>
    <t>Swimming speed and foraging strategies of northern elephant seals</t>
  </si>
  <si>
    <t>locomotion; swimming speed; diving; migrations; foraging behaviour; cost of transport; pinnipeds; USA; California; Ano Nuevo State Reserve</t>
  </si>
  <si>
    <t>ANTARCTIC FUR SEALS; AEROBIC DIVE LIMIT; MIROUNGA-ANGUSTIROSTRIS; MARINE MAMMALS; HARBOR SEALS; LEPTONYCHOTES-WEDDELLII; 3-DIMENSIONAL MOVEMENTS; DIVING BEHAVIOR; PHOCA-VITULINA; COST</t>
  </si>
  <si>
    <t>We investigated swimming speed, a key variable in both the management of oxygen stores and foraging strategies, and its relationship to diving behaviour in northern elephant seals, Mirounga angustirostris. Swimming speed significantly reduced the dive duration and time at depth for presumed foraging dives, but increased with dive depth. This suggests that the extended duration of deep dives is made possible by physiological adjustments and not by changes in swimming speed or effort. Swimming speeds were similar across sex and age classes despite different predicted minimum cost of transport speeds. All seals exhibited characteristic dive shapes and swimming speed patterns that support their putative functions, but two-dimensional dive shapes and swimming angles varied between sexes and age classes. Mean dive angles on descent were markedly shallow, suggesting use of negative buoyancy to cover horizontal distance while diving. Buoyancy also appeared to affect two-dimensional dive shapes and ability to use extended gliding behaviours between surface and deep foraging zones. Significant differences in diving behaviour between sexes and between young and adult females were evident for various phases of the dive cycle, potentially resulting from physical constraints or differences in dive functionality. (c) 2007 Elsevier Ltd. All rights reserved.</t>
  </si>
  <si>
    <t>Sonoma State Univ, Dept Biol, Rohnert Pk, CA 94928 USA; Greenridge Sci Inc, Goleta, CA 93117 USA; Univ Calif Santa Cruz, Dept Ecol &amp; Evolut Biol, Santa Cruz, CA 95064 USA; Univ Calif Santa Cruz, Inst Marine Sci, Santa Cruz, CA 95064 USA</t>
  </si>
  <si>
    <t>California State University System; Sonoma State University; University of California System; University of California Santa Cruz; University of California System; University of California Santa Cruz</t>
  </si>
  <si>
    <t>Hassrick, JL (corresponding author), Sonoma State Univ, Dept Biol, Rohnert Pk, CA 94928 USA.</t>
  </si>
  <si>
    <t>hassrick@biology.ucsc.edu</t>
  </si>
  <si>
    <t>Carlos, Universidade Federal de São/W-8832-2019; Hassrick, Jason/AAE-4905-2020; Costa, Daniel Paul/E-2616-2013</t>
  </si>
  <si>
    <t>Carlos, Universidade Federal de São/0000-0002-0334-3899; Costa, Daniel Paul/0000-0002-0233-5782; Blackwell, Susanna B./0000-0001-7158-6852</t>
  </si>
  <si>
    <t>10.1016/j.dsr2.2006.12.001</t>
  </si>
  <si>
    <t>WOS:000245820500016</t>
  </si>
  <si>
    <t>Frydman, S; Gales, N</t>
  </si>
  <si>
    <t>Frydman, S.; Gales, N.</t>
  </si>
  <si>
    <t>HeardMap: Tracking marine vertebrate populations in near real time</t>
  </si>
  <si>
    <t>animal tracking; GIS; diving; kernel smoothing; velocity filter; Heard Island</t>
  </si>
  <si>
    <t>SEALS; MOVEMENTS; ACCURACY; LOCATION; WILDLIFE; BEHAVIOR; OCEAN</t>
  </si>
  <si>
    <t>We developed a computer program (HeardMap) to receive, manage, visualise and analyse Argos location data and synchronised archival dive data. This program was used to acquire a relative intensity scale of areas of foraging and non-foraging activity of marine vertebrate predator populations around Heard Island in near real time during the austral summer of 2003/2004. Foraging and non-foraging areas were determined by using HeardMap, and trawl and acoustic samples were collected using the research ship Aurora Australis to measure the prey characteristics in those areas. A total of 226 meso-pelagic predators were tagged on Heard Island over a 2-month period. Most of these animals foraged in an area to the east of the island. The use of HeardMap demonstrated that large numbers of predators of various species could be tracked simultaneously and near-real-time estimates of foraging intensity could be derived. The inclusion of dive data in the data display provided a measure of behaviour embedded in the spatial distribution of the animals. (c) 2007 Elsevier Ltd. All rights reserved.</t>
  </si>
  <si>
    <t>Australian Govt Antarctic Div, Kingston, Tas 7050, Australia</t>
  </si>
  <si>
    <t>Frydman, S (corresponding author), Australian Govt Antarctic Div, Channel Highway, Kingston, Tas 7050, Australia.</t>
  </si>
  <si>
    <t>sascha.frydman@aad.gov.au</t>
  </si>
  <si>
    <t>Frydman, Sascha/0000-0003-4583-0545</t>
  </si>
  <si>
    <t>10.1016/j.dsr2.2006.11.015</t>
  </si>
  <si>
    <t>WOS:000245820500017</t>
  </si>
  <si>
    <t>McCafferty, DJ; Currie, J; Sparling, CE</t>
  </si>
  <si>
    <t>McCafferty, Dominic J.; Currie, John; Sparling, Carol E.</t>
  </si>
  <si>
    <t>The effect of instrument attachment on the surface temperature of juvenile grey seals (Halichoerus grypus) as measured by infrared thermography</t>
  </si>
  <si>
    <t>instrument effects; marine mammal; infrared thermography</t>
  </si>
  <si>
    <t>ANTARCTIC FUR SEALS; DOLPHINS TURSIOPS-TRUNCATUS; METABOLIC-RATES; HEAT; BEHAVIOR; ENERGETICS; EXCHANGE; WHALES; TRUNK; DEPTH</t>
  </si>
  <si>
    <t>Previous research has highlighted the importance of minimising hydrodynamic drag from biologging instruments fitted to marine mammals. However, there is a need to investigate other possible impacts of instruments on animals. The aim of this study was to examine the effect of deploying instruments on the surface temperature distribution of grey seals (Halichoerus grypus). Infrared (IR) thermography was used to record the surface temperature of two juveniles that had been fitted with heart rate recorders and mounting straps for the attachment of a time depth recorder. When animals were fully wet and inactive, the surface temperature pattern was unaffected by instruments. However, as animals dried out regions of high temperature were recorded around the edges of attachment sites compared to surrounding fur. This appeared to be due to heat leakage around the sides of instruments and mounting straps that provided an additional layer of insulation. There were no obvious changes in the surface temperature distribution around instruments associated with duration of deployment. This work shows that attachment of relatively small biologging instruments will produce localised effects on heat transfer in air but will not significantly change the total heat exchange of grey seals on land or at sea. IR thermography was also shown to be a useful method of detecting surface temperature patterns associated with epidural anaesthesia and blubber biopsy. (c) 2007 Elsevier Ltd. All rights reserved.</t>
  </si>
  <si>
    <t>Univ Glasgow, Dept Adult &amp; Continuing Educ, Glasgow G3 6NH, Lanark, Scotland; Napier Univ, Sch Built Environm, Edinburgh EH10 5DT, Midlothian, Scotland; Univ St Andrews, Sea Mammal Res Unit, Gatty Marine Lab, St Andrews KY16 8LB, Fife, Scotland</t>
  </si>
  <si>
    <t>University of Glasgow; Edinburgh Napier University; University of St Andrews</t>
  </si>
  <si>
    <t>McCafferty, DJ (corresponding author), Univ Glasgow, Dept Adult &amp; Continuing Educ, 11 Eldon St, Glasgow G3 6NH, Lanark, Scotland.</t>
  </si>
  <si>
    <t>d.mccafferty@educ.gla.ac.uk</t>
  </si>
  <si>
    <t>McCafferty, Dominic/0000-0002-3079-3326</t>
  </si>
  <si>
    <t>10.1016/j.dsr2.2006.11.019</t>
  </si>
  <si>
    <t>WOS:000245820500021</t>
  </si>
  <si>
    <t>Lam, PJ; Bishop, JKB</t>
  </si>
  <si>
    <t>Lam, Phoebe J.; Bishop, James K. B.</t>
  </si>
  <si>
    <t>High biomass, low export regimes in the Southern Ocean</t>
  </si>
  <si>
    <t>ballast; remineralization; POC; Twilight Zone; Southern Ocean; carbonate</t>
  </si>
  <si>
    <t>PARTICULATE MATTER; ELEMENTAL COMPOSITION; BIOGENIC SILICA; ORGANIC-CARBON; VERTICAL FLUX; CHEMISTRY; DISTRIBUTIONS; PACIFIC; BIOLOGY; BASIN</t>
  </si>
  <si>
    <t>This paper investigates ballasting and remineralization controls of carbon sedimentation in the Twilight Zone (100-1000 m) of the Southern Ocean. Size-fractionated (&lt; 1 mu m, 1-51 mu m, &gt; 51 mu m) suspended particulate matter was collected by large-volume in-situ filtration from the upper 1000 m in the Subantarctic (55 degrees S, 172 degrees W) and Antarctic (66 degrees S, 172 degrees W) zones of the Southern Ocean during the Southern Ocean Iron Experiment (SOFeX) in January-February 2002. Particles were analyzed for major chemical constituents (POC, P, biogenic Si, CaCO3) and digital and SEM image analyses of particles were used to aid in the interpretation of the chemical profiles. Twilight Zone waters at 66 degrees S in the Antarctic had a steeper decrease in POC with depth than at 55 degrees S in the Subantarctic, with lower POC concentrations in all size fractions at 66 degrees S than at 55 degrees S, despite up to an-order-of magnitude higher POC in surface waters at 66 degrees S. The decay length scale of &gt; 51-mu m POC was significantly shorter in the upper Twilight Zone at 66 degrees S (delta(e) = 26 m) compared to 55 degrees S (delta(e) = 81 m). Particles in the carbonate-producing 55 degrees S did not have higher excess densities than particles from the diatom-dominated 66 degrees S, indicating that there was no direct ballast effect that accounted for deeper POC penetration at 55 degrees S. An indirect ballast effect due to differences in particle packaging and porosities cannot be ruled out, however, as aggregate porosities were high (similar to 97%) and variable. Image analyses point to the importance of particle loss rates from zooplankton grazing and remineralization as determining factors for the difference in Twilight Zone POC concentrations at 55 degrees S and 66 degrees S, with stronger and more focused shallow remineralization at 66 degrees S. At 66 degrees S, an abundance of large (several min long) fecal pellets from the surface to 150 in, and almost total removal of large aggregates by 200 m, reflected the actions of a single or few zooplankton species capable of grazing diatoms in the euphotic zone, coupled with a more diverse particle-feeding zooplankton community immediately below. Surface waters with high biomass levels and high proportion of biomass in the large-size fraction were associated with low particle loading at depth, with all indications implying conditions of low export. The 66'S region exhibits this high biomass, low expoit (HBLE) condition, with very high &gt; 51-mu m POC concentrations at the surface (similar to 2.1 mu M POC), but low concentrations below 200 m, (&lt; 0.07 mu M POC). The 66'S region remained HBLE after iron fertilization. Iron addition at 55 degrees S caused a 10 fold increase in &gt; 51-mu m biomass concentrations in the euphotic zone, bringing surface POC concentrations to levels found at 66 degrees S (similar to 3.8 mu M), and a concurrent decrease in POC concentrations below 200 in. The 55 degrees S region, which began with moderate levels of biomass and stronger particle export, transitioned to being HBLE after iron fertilization. We propose that iron addition to already HBLE waters will not cause mass sedimentation events. The stability of an iron-induced HBLE condition is unknown. Better understanding of biological pump processes in non-HBLE Subantarctic waters is needed. Published by Elsevier Ltd.</t>
  </si>
  <si>
    <t>Univ Calif Berkeley, Lawrence Berkeley Lab, Div Earth Sci, Berkeley, CA 94720 USA; Univ Calif Berkeley, Dept Earth &amp; Planetary Sci, Berkeley, CA 94720 USA</t>
  </si>
  <si>
    <t>University of California System; University of California Berkeley; United States Department of Energy (DOE); Lawrence Berkeley National Laboratory; University of California System; University of California Berkeley</t>
  </si>
  <si>
    <t>Lam, PJ (corresponding author), Woods Hole Oceanog Inst, Dept Marine Chem &amp; Geochem, Woods Hole, MA 02543 USA.</t>
  </si>
  <si>
    <t>p.lam@whoi.edu</t>
  </si>
  <si>
    <t>Lam, Phoebe/GQQ-7325-2022</t>
  </si>
  <si>
    <t>Bishop, James/0000-0002-8036-3017; Lam, Phoebe J./0000-0001-6609-698X</t>
  </si>
  <si>
    <t>5-7</t>
  </si>
  <si>
    <t>10.1016/j.dsr2.2007.01.013</t>
  </si>
  <si>
    <t>183PS</t>
  </si>
  <si>
    <t>Green Submitted</t>
  </si>
  <si>
    <t>WOS:000247585300009</t>
  </si>
  <si>
    <t>Paytan, A; Griffith, EM</t>
  </si>
  <si>
    <t>Paytan, Adina; Griffith, Elizabeth M.</t>
  </si>
  <si>
    <t>Marine barite: Recorder of variations in ocean export productivity</t>
  </si>
  <si>
    <t>palaeoceanography; barite; carbon cycle; primary production; biological production; marine sediments</t>
  </si>
  <si>
    <t>CENTRAL EQUATORIAL PACIFIC; DEEP-SEA; CONTINENTAL-MARGIN; BIOGENIC BARIUM; LATE PALEOCENE; ANTARCTIC OCEAN; SEDIMENT; ATLANTIC; CARBON; WESTERN</t>
  </si>
  <si>
    <t>Marine barite (EaSO(4)) is produced in the water column in association with decaying organic matter; its distribution in the water column and in core-top sediments closely corresponds with the organic carbon flux from the surface ocean to the deep ocean (export production). Barite preservation in non-sulfate-reducing sediments is high, compared to other proxies used to reconstruct both export carbon fluxes (export production) and carbon burial rates. Thus the accumulation rate of marine barite is one of the most promising methods (or proxy variables) for export production and has been used to understand and reconstruct past biogeochemical processes in the ocean, including export productivity. Like any other paleoceanographic proxy, there are assumptions and complications associated with the application of barite accumulation rates in reconstructing export production. Specifically, because barite constitutes only a small fraction of the total sediment (&lt; 1%), computing precise barite accumulation rates depends on accurate estimates of bulk sediment mass accumulation rates which are hard to determine, particularly at high temporal resolution. Moreover, the significance of variable barite preservation depends on seawater saturation levels with respect to barite and sedimentation rates, which have not yet been fully investigated. Several studies have demonstrated the utility of this proxy, and if used wisely, marine barite accumulation rates in marine sediments can provide valuable information about changes in carbon export to depth and the response of the carbon cycle to climate perturbations in the geological record. Ideally, to achieve higher confidence in paleo-reconstructions of export production, several independent proxies should be applied simultaneously at any given site or time interval. (c) 2007 Elsevier Ltd. All rights reserved.</t>
  </si>
  <si>
    <t>Stanford Univ, Dept Geol &amp; Environm Sci, Stanford, CA 94305 USA</t>
  </si>
  <si>
    <t>Stanford University</t>
  </si>
  <si>
    <t>Paytan, A (corresponding author), Stanford Univ, Dept Geol &amp; Environm Sci, Stanford, CA 94305 USA.</t>
  </si>
  <si>
    <t>apaytan@stanford.edu</t>
  </si>
  <si>
    <t>Griffith, Elizabeth/KBB-3072-2024</t>
  </si>
  <si>
    <t>Griffith, Elizabeth/0000-0002-7919-4551</t>
  </si>
  <si>
    <t>10.1016/j.dsr2.2007.01.007</t>
  </si>
  <si>
    <t>WOS:000247585300013</t>
  </si>
  <si>
    <t>Loubere, P; Richaud, M; Mireles, S</t>
  </si>
  <si>
    <t>Loubere, Paul; Richaud, Mathieu; Mireles, Susan</t>
  </si>
  <si>
    <t>Variability in tropical thermocline nutrient chemistry on the glacial/interglacial timescale</t>
  </si>
  <si>
    <t>EASTERN EQUATORIAL PACIFIC; ATMOSPHERIC CO2 CONCENTRATIONS; LIVING PLANKTIC FORAMINIFERA; SURFACE-WATER; ISOTOPIC FRACTIONATION; VERTICAL-DISTRIBUTION; SOUTH-ATLANTIC; BIOGENIC OPAL; PANAMA BASIN; C-14 AGES</t>
  </si>
  <si>
    <t>The organic carbon to calcite rain ratio in the tropical ocean may play a role in regulating global climate through its influence on CO2 draw down in the upper ocean. The rain ratio may be altered by changes in the nutrient chemistry of the thermocline. Such changes in the tropical Pacific are revealed by the carbon isotope values of thermocline-dwelling planktonic foraminifera (Neogloboquadrina dutertrei). The tropical Pacific record over the last 30 kyr in the region south, or along, the equator, which is fed by upwelling of deeper equatorial undercurrent water (EUC), shows a carbon isotope signal distinct from any other in global mixed-layer or benthic environments. This unique record is consistent across the Pacific. Unlike carbon isotope data from other basins and oceanic habitats, the tropical Pacific thermocline tracer shows last glacial values more positive than those of post-glacial times. The isotopic shift occurs in the early deglacial (20-17 kyr) and leads to a deglacial carbon isotope minimum whose timing differs from that seen elsewhere. The deglacial record of the Pacific seems best interpreted as the progressive development of the modern, nutrient-rich thermocline under high-nutrient low-chlorophyll (HNLC) conditions. The eastern tropical Atlantic also has a unique glacial to modern carbon isotope record that is essentially opposite to that seen in the Pacific. Strongly negative values in glacial times differ from those of the 'standard stratified' ocean, indicating higher nutrient concentrations. A large shift to more positive values occurs rapidly at about 13-14 kyr. This indicates a marked reduction in thermocline nutrients. The implication is that nutrient flow to the tropics from the deep ocean (via sub-Antarctic sources) was stronger for the Atlantic during the glacial, but was weaker in the Pacific. Transformation to modern conditions occurred in two steps, at 17-18 and 13-14 kyr, a timing that matches shifts in atmospheric CO2 concentrations and which would be compatible with driving those concentrations higher over deglacial time. The mechanism could be an inherent difference in production regimes between the tropical Pacific and Atlantic. (c) 2007 Elsevier Ltd. All rights reserved.</t>
  </si>
  <si>
    <t>No Illinois Univ, Dept Geol &amp; Environm Geosci, De Kalb, IL 60115 USA</t>
  </si>
  <si>
    <t>Northern Illinois University</t>
  </si>
  <si>
    <t>Loubere, P (corresponding author), No Illinois Univ, Dept Geol &amp; Environm Geosci, Davis Hall, De Kalb, IL 60115 USA.</t>
  </si>
  <si>
    <t>paul@geol.niu.edu</t>
  </si>
  <si>
    <t>richaud, mathieu/0000-0003-2049-571X</t>
  </si>
  <si>
    <t>10.1016/j.dsr2.2007.01.005</t>
  </si>
  <si>
    <t>WOS:000247585300016</t>
  </si>
  <si>
    <t>Moore, TS; Matear, RJ; Marra, J; Clementson, L</t>
  </si>
  <si>
    <t>Moore, Thomas S., II; Matear, Richard J.; Marra, John; Clementson, Lesley</t>
  </si>
  <si>
    <t>Phytoplankton variability off the Western Australian Coast: Mesoscale eddies and their role in cross-shelf exchange</t>
  </si>
  <si>
    <t>earth sciences; oceanography; biogeochemistry; remote sensing; mesoscale eddies; phytoplankton</t>
  </si>
  <si>
    <t>LEEUWIN CURRENT SOUTH; ROCK LOBSTER; OPTICAL-PROPERTIES; NUTRIENT DYNAMICS; EASTERN BOUNDARY; CYCLONIC EDDIES; MIXED-LAYER; OCEAN; RECRUITMENT; WATERS</t>
  </si>
  <si>
    <t>We utilize over 6 years of remotely sensed chlorophyll a estimates from sea-viewing wide-field-of-view sensor (SeaWiFS), along with in situ observations from the targeted sampling of mesoscale eddies during the 2000 Transport Indian Pacific (TIP2000) cruise to characterize phytoplankton variability on and off the central Western Australian (WA) shelf. Much of the variability is associated with mesoscale eddies, and we find that, contrary to canonical ideas, satellite and in situ estimates of surface chlorophyll off WA show low phytoplankton biomass in cyclonic eddies and high biomass in anticyclonic eddies. Off-shelf we found two types of phytoplankton communities; modified shelf communities in anticyclonic eddies and offshore subtropical communities concentrated in the deep chlorophyll maximum outside the anticyclonic eddies. The presence of the modified shelf community offshore in anticyclonic eddies supports a shelf-based origin and cross-shelf distribution mechanism for phytoplankton off the central WA coast. Anticyclonic eddies, formed adjacent to the shelf, entrain shelf waters with relatively high chlorophyll a concentrations and, as they propagate westward, export coastal phytoplankton communities offshore. The formation of anticyclonic eddies appears to occur at preferred locations along the WA coast. Our observations suggest that the anticyclonic eddy communities are long-lived (5 months or more) and their maintenance may result from the sub-mesoscale injection of nutrients into the eddy boundary. (c) 2007 Elsevier Ltd. All rights reserved.</t>
  </si>
  <si>
    <t>CSIRO Marine &amp; Atmospher Res, Hobart, Tas 7001, Australia; Univ Tasmania, Inst Antarctic &amp; So Ocean Studies, Hobart, Tas 7001, Australia; Columbia Univ, Lamont Doherty Earth Observ, Palisades, NY 10964 USA</t>
  </si>
  <si>
    <t>Commonwealth Scientific &amp; Industrial Research Organisation (CSIRO); University of Tasmania; Columbia University</t>
  </si>
  <si>
    <t>Moore, TS (corresponding author), CSIRO Marine &amp; Atmospher Res, GPO Box 1538, Hobart, Tas 7001, Australia.</t>
  </si>
  <si>
    <t>thomas.moore@csiro.au</t>
  </si>
  <si>
    <t>Moore, Thomas/AAU-9480-2021; Clementson, Lesley A/M-6905-2013; matear, richard/C-5133-2011</t>
  </si>
  <si>
    <t>Moore, Thomas/0000-0003-3930-1946; matear, richard/0000-0002-3225-0800; Clementson, Lesley/0000-0003-4415-993X</t>
  </si>
  <si>
    <t>8-10</t>
  </si>
  <si>
    <t>10.1016/j.dsr2.2007.02.006</t>
  </si>
  <si>
    <t>215KB</t>
  </si>
  <si>
    <t>WOS:000249806100009</t>
  </si>
  <si>
    <t>Brandt, A; Ebbe, B; Gooday, AJ</t>
  </si>
  <si>
    <t>Brandt, Angelika; Ebbe, Brigitte; Gooday, Andrew J.</t>
  </si>
  <si>
    <t>Introduction to ANDEEP, summary and outlook</t>
  </si>
  <si>
    <t>Editorial Material</t>
  </si>
  <si>
    <t>Southern Ocean; deep sea; biodiversity; meiofauna; makrofauna; megafauna</t>
  </si>
  <si>
    <t>WEDDELL SEA; DEEP-SEA; BIODIVERSITY; ANTARCTICA; HISTORY; DEPTH</t>
  </si>
  <si>
    <t>The multidisciplinary international project ANDEEP (Antarctic deep-sea benthic biodiversity: colonisation history and recent community patterns) involved a two-leg expedition to the Weddelland Scotia seas in 2002 and a third expedition in 2005 to the Cape and Agulhas basins, Weddell Sea, Bellingshausen Sea and Drake Passage (Fig. 1). In 2004, we published the first results, based on the material collected during ANDEEP I/II (Brandt and Hilbig, 2004). This second volume concerns work done since 2004, including results based on material obtained during ANDEEP III. These three expeditions yielded a very rich and unique collection of material and data. Much work remains to be done and publications will continue to appear in the literature for many years to come. However, the end of the directly funded phase of the project provides a good opportunity to revisit the original questions that we had hoped to answer, to determine our success in doing so, and to define remaining gaps in our knowledge of the deep Southern Ocean faunas. Generally, the goals that were set for ANDEEP have been reached. In particular, there has been an increase in our knowledge of the scale and patterns of species diversity in the deep ocean and an improved understanding of the origins of the abyssal fauna of the Southern Ocean. Many of the remaining gaps have emerged from the knowledge we gained and thus are part of the success of the project rather than an indication of failure. (c) 2007 Elsevier Ltd. All rights reserved.</t>
  </si>
  <si>
    <t>Inst Zool, D-20146 Hamburg, Germany; Zool Museum, D-20146 Hamburg, Germany; DZMB CeDAMar, Zool Forschungsmuseum Alexander Konig, D-53113 Bonn, Germany; Natl Oceanog Ctr, Southampton SO14 3ZH, Hants, England</t>
  </si>
  <si>
    <t>NERC National Oceanography Centre</t>
  </si>
  <si>
    <t>Brandt, A (corresponding author), Inst Zool, Martin Luther King Pl 3, D-20146 Hamburg, Germany.</t>
  </si>
  <si>
    <t>abrandt@zoologie.uni-hamburg.de; bhilbig@senckenberg.de; ang@noc.soton.ac.uk</t>
  </si>
  <si>
    <t>Brandt, Angelika/C-1630-2018; Gooday, Andrew/AAH-8991-2021; Gooday, Andrew/ABB-4267-2020</t>
  </si>
  <si>
    <t>Gooday, Andrew/0000-0002-5661-7371</t>
  </si>
  <si>
    <t>NERC [soc010009] Funding Source: UKRI; Natural Environment Research Council [soc010009] Funding Source: researchfish</t>
  </si>
  <si>
    <t>16-17</t>
  </si>
  <si>
    <t>10.1016/j.dsr2.2007.07.001</t>
  </si>
  <si>
    <t>231UI</t>
  </si>
  <si>
    <t>WOS:000250974300001</t>
  </si>
  <si>
    <t>Howe, JA; Wilson, CR; Shimmield, TM; Diaz, RJ; Carpenter, LW</t>
  </si>
  <si>
    <t>Howe, John A.; Wilson, Charles R.; Shimmield, Tracy M.; Diaz, Robert J.; Carpenter, Lawrence W.</t>
  </si>
  <si>
    <t>Recent deep-water sedimentation, trace metal and radioisotope geochemistry across the Southern Ocean and northern Weddell Sea, antarctica</t>
  </si>
  <si>
    <t>pelagites; turbidites; Pb-210 profiles; trace metal content; ice-rafted debris</t>
  </si>
  <si>
    <t>WESTERN BRANSFIELD STRAIT; CONTINENTAL RISE WEST; SURFACE SEDIMENTS; BELLINGSHAUSEN SEA; POWELL BASIN; SCOTIA; RECORD; VARIABILITY; PROVENANCE; DISPERSAL</t>
  </si>
  <si>
    <t>A wide variety of deep-water depositional environments were examined across 12 sampling stations in the Southern Ocean and northern Weddell Sea, Antarctica in order to provide a depositional context for the benthic biodiversity studies of ANDEEP (Antarctic Benthic Deep-Sea Biodiversity: colonisation history and recent community patterns). Here we present a diverse dataset comprising sub-bottom profiles, seabed photographs, sediment profile images, and box and multicore samples in order to investigate the recent depositional environments across the region. The sediments were investigated using texture, structure, trace metal (Mn, Fe, U, Mo, Ba, and Pb), stable (Pb-206/Pb-207) and radionuclide (excess Pb-210) isotopes. The sediments of the Agulhas Basin are interpreted as siliceous pelagites, the product of enhanced surface productivity. The eastern Weddell continental rise is characterised by diverse depositional environments with hemipelagic, turbiditic and contouritic sedimentation. In contrast, the northern Weddell Abyssal Plain is dominated by hemipelagites with fine-grained turbidites. A single sampling station from the central Powell Basin contained hemipelagites and a fine-grained turbidite. A core from the central Bransfield Strait recovered hemipelagites with a silt turbidite. The seabed photographs display a seabed dominated by biogenic mud balls formed by cirratulid polychaetes. Trace metal, Pb-isotope, and excess Pb-210 data all reveal the central Bransfield Strait to be a region of enhanced productivity with a mass accumulation rate of 0.073g/cm(2). Two stations in the Bellingshausen Sea recovered hemipelagites and turbidites. Mn, Fe and Mo data suggest a degradation of organic matter in the sediments leading to redox cycling. (c) 2007 Elsevier Ltd. All rights reserved.</t>
  </si>
  <si>
    <t>Dunstaffnage Marine Res Lab, Scottish Assoc Marine Sci, Oban PA37 1QA, Argyll, Scotland; Virginia Inst Marine Sci, Gloucester Point, VA 23062 USA</t>
  </si>
  <si>
    <t>UHI Millennium Institute; William &amp; Mary; Virginia Institute of Marine Science</t>
  </si>
  <si>
    <t>Howe, JA (corresponding author), Dunstaffnage Marine Res Lab, Scottish Assoc Marine Sci, Oban PA37 1QA, Argyll, Scotland.</t>
  </si>
  <si>
    <t>jaho@sams.ac.uk</t>
  </si>
  <si>
    <t>Shimmield, Tracy/B-4483-2010</t>
  </si>
  <si>
    <t>10.1016/j.dsr2.2007.07.007</t>
  </si>
  <si>
    <t>WOS:000250974300002</t>
  </si>
  <si>
    <t>Gillan, DC; Danis, B</t>
  </si>
  <si>
    <t>Gillan, David C.; Danis, Bruno</t>
  </si>
  <si>
    <t>The archaebacterial communities in Antarctic bathypelagic sediments</t>
  </si>
  <si>
    <t>archaebacteria; crenarchaeota-; sediments; antarctic; 16S rDNA; marine group I</t>
  </si>
  <si>
    <t>PLANKTONIC ARCHAEA; MICROBIAL COMMUNITY; DOMAINS ARCHAEA; GENE-SEQUENCES; DEEP-SEA; BACTERIA; OCEAN; BACTERIOPLANKTON; PROKARYOTES; ATLANTIC</t>
  </si>
  <si>
    <t>16S ribosomal DNA clone library analysis was performed to assess archaeal diversity within three surficial. sediment samples obtained from the bathypelagic zone (depth: 2165-3406 in) of the Weddell Sea, Antarctica. The nearly complete 16S rDNA gene (1440bp) was obtained for 146 clones and 46 phylotypes were defined. The majority of the sequences (&gt; 99%) formed three clusters within the Marine Group I Crenarchaeota. The most important cluster, with 78.8% of the clones, included Candidatus Nitrosopumilus maritimus, a mesophilic archaeon able to oxidize ammonia. The most important subgroup in that cluster was the APA4-0cm subgroup (with 62.3% of the clones). This subgroup might represent important Crenarchaeota in the functioning of the bathypelagic sedimentary ecosystems of the Weddell Sea because it dominated the clone libraries in all sampling stations, and was found in sediments separated by very large geographic distances. Only one clone grouped within the Euryarchaeota. This euryarchaeal clone could not be affiliated with any of the previously defined clusters and might represent a novel euryarchaeal lineage. (c) 2007 Elsevier Ltd. All rights reserved.</t>
  </si>
  <si>
    <t>Univ Libre Bruxelles, Marine Biol Lab, B-1050 Brussels, Belgium; Royal Belgian Inst Nat Sci, B-1000 Brussels, Belgium</t>
  </si>
  <si>
    <t>Universite Libre de Bruxelles; Royal Belgian Institute of Natural Sciences</t>
  </si>
  <si>
    <t>Gillan, DC (corresponding author), Univ Libre Bruxelles, Marine Biol Lab, CP 160-15,50 Av Roosevelt, B-1050 Brussels, Belgium.</t>
  </si>
  <si>
    <t>dgillan@ulb.ac.be</t>
  </si>
  <si>
    <t>Danis, Bruno/AAS-8444-2021</t>
  </si>
  <si>
    <t>Danis, Bruno/0000-0002-9037-7623</t>
  </si>
  <si>
    <t>10.1016/j.dsr2.2007.07.002</t>
  </si>
  <si>
    <t>WOS:000250974300003</t>
  </si>
  <si>
    <t>Gooday, AJ; Cedhagen, T; Kamenskaya, OE; Cornelius, N</t>
  </si>
  <si>
    <t>Gooday, Andrew J.; Cedhagen, Tomas; Kamenskaya, Olga E.; Cornelius, Nils</t>
  </si>
  <si>
    <t>The biodiversity and biogeography of komokiaceans and other enigmatic foraminiferan-like protists in the deep Southern Ocean</t>
  </si>
  <si>
    <t>biodiversity; biogeography; deep water; polar waters; Komokiacea; protista</t>
  </si>
  <si>
    <t>AGGLUTINATED FORAMINIFERA; MONOTHALAMOUS FORAMINIFERAN; BENTHIC FORAMINIFERA; NORTH-ATLANTIC; WEDDELL SEA; DIVERSITY; PACIFIC; ORGANIZATION; ASSEMBLAGES; MORPHOLOGY</t>
  </si>
  <si>
    <t>We present a survey of komokiaceans and other relatively large, stercomata-bearing testate protists, presumed to be foraminifera, based on extensive ship-board sorting of samples collected at 13 sites (depth range 1820-4930m) in the Weddell Sea and two sites in the SE Atlantic (Cape and Aguilas basins, north of the Antarctic Convergence) during the ANDEEP III expedition. Thirty-nine species occurred in the Weddell Sea and a further II in the SE Atlantic basins. Of these 50 species, 35 are undescribed. We assign, with a greater or lesser degree of certainty, 26 and 13 species to the komokiacean families Komokiidae and Baculellidae, respectively, and another 2 to the Komokiacea incertae sedis. We include in the Baculellidae an undescribed species in which very fine hair-like fibres, similar to those seen in some species currently included in this family, arise from the segments that make up the chain-like test. A further II chain-like species lack these fibres and we therefore exclude them from the Komokiacea. A final group of species includes a mixture of different forms, some of which exhibit komokiacean-like features. These assemblages were most diverse at abyssal sites in the central Weddell Sea (27-30 species per site). Above 4000m, 1-8 species were present at individual sites and only two species, Normanina conferta and Septunia brachyrarnosa, occurred at depths &lt; 2000 in. One of these, N. coqf rta, was the most widely distributed species, occurring at II stations south of the Antarctic convergence as well as the Aguilas Basin. Many (31-61%) of the Southern Ocean ANDEEP species are recognised in the North Atlantic and 6 were previously described from the central North Pacific. Our results suggest that some komokiacean and chain-like species are widely distributed at abyssal depths in the oceans. They also support other evidence that many undescribed komokiacean species exist and highlight some of the difficulties involved in defining the morphological limits of this difficult taxon. (c) 2007 Elsevier Ltd. All rights reserved.</t>
  </si>
  <si>
    <t>Natl Oceanog Ctr, Southampton SO14 3ZH, Hants, England; Univ Aarhus, Inst Biol, Dept Marine Ecol, DK-8200 Aarhus N, Denmark; Russian Acad Sci, PP Shirshov Oceanol Inst, Lab Ocean Benth Fauna, Moscow 117997, Russia</t>
  </si>
  <si>
    <t>NERC National Oceanography Centre; Aarhus University; Russian Academy of Sciences; Shirshov Institute of Oceanology</t>
  </si>
  <si>
    <t>Gooday, AJ (corresponding author), Natl Oceanog Ctr, Empress Dock,European Way, Southampton SO14 3ZH, Hants, England.</t>
  </si>
  <si>
    <t>ang@noc.soton.ac.uk</t>
  </si>
  <si>
    <t>Gooday, Andrew/ABB-4267-2020; Kamenskaya, Olga E/J-7142-2018; Gooday, Andrew/AAH-8991-2021; Cedhagen, Tomas/J-6426-2013</t>
  </si>
  <si>
    <t>Gooday, Andrew/0000-0002-5661-7371; Cedhagen, Tomas/0000-0003-4550-8177</t>
  </si>
  <si>
    <t>Natural Environment Research Council [soc010009] Funding Source: researchfish; NERC [soc010009] Funding Source: UKRI</t>
  </si>
  <si>
    <t>10.1016/j.dsr2.2007.07.003</t>
  </si>
  <si>
    <t>WOS:000250974300004</t>
  </si>
  <si>
    <t>Pawlowski, J; Bowser, SS; Gooday, AJ</t>
  </si>
  <si>
    <t>Pawlowski, Jan; Bowser, Samuel S.; Gooday, Andrew J.</t>
  </si>
  <si>
    <t>A note on the genetic similarity between shallow- and deep-water Epistominella vitrea (Foraminifera) in the Antarctic</t>
  </si>
  <si>
    <t>genetic diversity; rRNA; foraminifera; protists; Southern Ocean</t>
  </si>
  <si>
    <t>MOLECULAR EVIDENCE; MCMURDO SOUND; WEDDELL SEA; MONOTHALAMOUS FORAMINIFERAN; PLANKTONIC FORAMINIFERS; CRYPTIC SPECIATION; CONTINENTAL-SHELF; EXPLORERS COVE; BENTHIC FAUNA; SP-NOV</t>
  </si>
  <si>
    <t>Many Antarctic species are known to have large bathymetric ranges. However, little is known about the genetic diversity of populations living at different depths. In certain microfauna- and meiofauna-sized taxa, some morphospecies can be divided into several cryptic genetic species. To test whether cryptic diversity is linked with depth of occurrence in Southern Ocean foraminifera, we compared ribosomal DNA sequences of selected calcareous foraminiferal species from shallow localities in McMurdo Sound and deep ones in the Weddell Sea. We found that at least one species, Epistominella vitrea, was genetically almost identical between the two localities, having a bathymetric range of over 1000 in. Our study provides molecular evidence for an extraordinarily large depth migration of Antarctic shelf foraminifera. It also suggests a relationship between populations of foraminifera from widely separated geographic regions of the Southern Ocean. (c) 2007 Elsevier Ltd. All rights reserved.</t>
  </si>
  <si>
    <t>Univ Geneva, Dept Zool &amp; Anim Biol, CH-1211 Geneva 4, Switzerland; New York State Dept Hlth, Wadsworth Ctr, Albany, NY 12201 USA; SUNY Albany, Sch Publ Hlth, Dept Biomed Sci, Albany, NY 12222 USA; Southampton Oceanog Ctr, Southampton SO14 3ZH, Hants, England</t>
  </si>
  <si>
    <t>University of Geneva; Wadsworth Center; State University of New York (SUNY) System; State University of New York (SUNY) System; State University of New York (SUNY) Albany; NERC National Oceanography Centre; University of Southampton</t>
  </si>
  <si>
    <t>Pawlowski, J (corresponding author), Univ Geneva, Dept Zool &amp; Anim Biol, Sci 3, CH-1211 Geneva 4, Switzerland.</t>
  </si>
  <si>
    <t>jan.pawlowski@zoo.unige.ch</t>
  </si>
  <si>
    <t>Pawlowski, Jan/JNS-6857-2023; Gooday, Andrew/AAH-8991-2021; Gooday, Andrew/ABB-4267-2020</t>
  </si>
  <si>
    <t>10.1016/j.dsr2.2007.07.016</t>
  </si>
  <si>
    <t>WOS:000250974300005</t>
  </si>
  <si>
    <t>Brökeland, W; Choudhury, M; Brandt, A</t>
  </si>
  <si>
    <t>Broekeland, Wiebke; Choudhury, Madhumita; Brandt, Angelika</t>
  </si>
  <si>
    <t>Composition, abundance and distribution of peracarida from the Southern Ocean deep sea</t>
  </si>
  <si>
    <t>peracarida; composition; abundance; distribution; Southern Ocean; deep sea</t>
  </si>
  <si>
    <t>COMMUNITY PATTERNS; WEDDELL SEA; ROSS SEA; DIVERSITY; CRUSTACEA; MALACOSTRACA; EVOLUTION; FAUNA; TRANSECT; BIODIVERSITY</t>
  </si>
  <si>
    <t>Peracarida are an important component of both the deep-sea fauna and the fauna known from the Antarctic shelf. The peracarid composition from epibenthic-sledge samples obtained during the expeditions ANDEEP I-III is shown and compared to that of other deep-sea basins and the Antarctic shelf. The Amphipoda were the most abundant taxon in the samples, with 43% of all peracarid individuals, followed by the Isopoda (35%), Cumacea (16%), Tanaidacea (5%) and Mysidacea (1%). Highest abundances were found at the shallower stations, but a clear trend towards decreasing abundances with depth could not be confirmed. Although the decrease of amphipod numbers and the increase of isopod numbers with depth in general correspond to other areas, e.g., the Angola Basin, the Southern Ocean deep sea seems to be special by harboring more amphipod specimens at medium depths, thus reflecting the situation on the Antarctic shelf. Outstanding by their number of specimens were the samples from station 133-2 at about 1500 in depth in the Powell Basin, which contained the highest number of specimens, and from station 152-6 in the Bransfield Strait, where the number of specimens was strikingly low despite the moderate depth of about 2000m. (c) 2007 Elsevier Ltd. All rights reserved.</t>
  </si>
  <si>
    <t>DZMB, Forschungsinst Senckenberg, D-26382 Wilhelmshaven, Germany; Univ Hamburg, Zool Museum, Biozentrum Grindel, D-20146 Hamburg, Germany</t>
  </si>
  <si>
    <t>Senckenberg Gesellschaft fur Naturforschung (SGN); University of Hamburg</t>
  </si>
  <si>
    <t>Brökeland, W (corresponding author), DZMB, Forschungsinst Senckenberg, Sudstrand 44, D-26382 Wilhelmshaven, Germany.</t>
  </si>
  <si>
    <t>wbroekeland@senckenberg.de; madhumita.choudhury@uni-hamburg.de; abrandt@zoologi.uni-hamburg.de</t>
  </si>
  <si>
    <t>Brandt, Angelika/C-1630-2018</t>
  </si>
  <si>
    <t>10.1016/j.dsr2.2007.07.014</t>
  </si>
  <si>
    <t>WOS:000250974300008</t>
  </si>
  <si>
    <t>Brandt, A; Brix, S; Brökeland, W; Choudhury, M; Kaiser, S; Malyutina, M</t>
  </si>
  <si>
    <t>Brandt, Angelika; Brix, Saskia; Broekeland, Wiebke; Choudhury, Madhurnita; Kaiser, Stefanie; Malyutina, Marina</t>
  </si>
  <si>
    <t>Deep-sea isopod biodiversity, abundance, and endemism in the Atlantic sector of the Southern Ocean-Results from the ANDEEP I-III expeditions</t>
  </si>
  <si>
    <t>isopoda; biodiversity; abundance; species richness; Southern Ocean; deep sea</t>
  </si>
  <si>
    <t>SPECIES-DIVERSITY; EPIBENTHIC-SLEDGE; PERACARID CRUSTACEANS; COMMUNITY STRUCTURE; ASELLOTA CRUSTACEA; BENTHIC DIVERSITY; TEMPORAL PATTERNS; WEDDELL SEA; EVOLUTION; ORIGIN</t>
  </si>
  <si>
    <t>Three expeditions were performed in the framework of ANDEEP (ANtarctic benthic DEEP-sea biodiversity, colonisation history and recent community patterns) in order to understand the Southern Ocean (SO) biodiversity of the Isopoda and to investigate faunal connections with other deep-sea areas in the world oceans. We sampled mainly in the Atlantic sector of the SO (Drake Passage along the Shackleton Fracture Zone, off Elephant Island, in the South Shetland Islands area, in the northwestern Weddell Sea, and at the South Sandwich Islands), but also took two stations in each Bellingshausen Sea and Cape Basin. In total, three expeditions yielded 13,046 specimens of Isopoda. During ANDEEP I-II 5525 specimens and 317 species of Isopoda were sampled, and 7521 specimens and 496 species were discriminated from the ANDEEP III material. Overall, Isopoda comprised 35% of all Peracarida sampled, and we identified 674 isopod species from the 40 deep SO stations. Eighty-nine of these species (13%) were known, the others (585 species) were new to the area, and most of these were new to science, 43 genera being recorded for the first time. Asellota comprised 97% of all ANDEEP Isopoda, and Munnopsidae were the most dominant family, followed by the Desmosomatidae, Haploniscidae, and Ischnomesidae. To our present knowledge 87% of the SO deep-sea Isopoda are apparently endemic. Most species did not occur frequently in the samples. Abundance was higher at the shallower ANDEEP stations and highest in the Powell Basin at station 133, and generally decreased with increasing depth. Species richness was highest with 92 species at the bathyal station 80-9 in 3 100 m off Kapp Norvegia, in general, species richness was highest at around 3000 m depth with 216 species found at all ANDEEP stations, and 92 species sampled at a single station in 3100m depth. The cluster analysis of the isopod composition from ANDEEP revealed in general terms that the abyssal Weddell-Sea stations build one cluster. Depth turned out to be the most important abiotic factor for the species composition reported. Most of the species frequently occurring at the abyssal stations are Munnopsidae, which can swim. The SO deep sea differs in faunal composition from the shelf, and few isopod species occur at many stations, while most species only occur at few. The reasons for these findings are unknown. Future studies should focus on the functional role of the frequent species of the SO deep-sea ecosystem and food-web. (c) 2007 Elsevier Ltd. All rights reserved.</t>
  </si>
  <si>
    <t>Inst Zool, D-20146 Hamburg, Germany; Zool Museum, D-20146 Hamburg, Germany; FEB RAS, Inst Marine Biol, Vladivostok 690041, Russia</t>
  </si>
  <si>
    <t>Russian Academy of Sciences; National Scientific Center of Marine Biology, Far East Branch of the Russian Academy of Sciences</t>
  </si>
  <si>
    <t>abrandt@zoologie.uni-hamburg.de</t>
  </si>
  <si>
    <t>Malyutina, Marina/JAC-6506-2023; Malyutina, Marina/A-6839-2014; Brandt, Angelika/C-1630-2018</t>
  </si>
  <si>
    <t>Malyutina, Marina/0000-0003-2161-3917; Kaiser, Stefanie/0000-0003-2026-4663</t>
  </si>
  <si>
    <t>10.1016/j.dsr2.2007.07.015</t>
  </si>
  <si>
    <t>WOS:000250974300009</t>
  </si>
  <si>
    <t>Kaiser, S; Barnes, DKA; Brandt, A</t>
  </si>
  <si>
    <t>Kaiser, Stefanie; Barnes, David K. A.; Brandt, Angelika</t>
  </si>
  <si>
    <t>Slope and deep-sea abundance across scales: Southern Ocean isopods show how complex the deep sea can be</t>
  </si>
  <si>
    <t>patchiness; antarctica; peracarida; rarity; ecological success</t>
  </si>
  <si>
    <t>SOFT-SEDIMENT MACROBENTHOS; SPECIES RICHNESS; QUANTITATIVE INVESTIGATIONS; BENTHIC BIODIVERSITY; EPIBENTHIC SLEDGE; CONTINENTAL-SHELF; SPATIAL-PATTERNS; STANDING STOCK; DIVERSITY; COMMUNITIES</t>
  </si>
  <si>
    <t>How animals are distributed in the world's largest surface environment, the deep sea, is poorly understood. The ANDEEP (ANtarctic benthic DEEP-sea biodiversity, colonisation history and recent community patterns) III cruise probed richness and abundance of one group, peracarid crustaceans (isopods, amphipods, cumaceans, tanaidaceans, mysidaceans), as a model of deep-sea fauna across Southern Ocean (SO) sites. Analysis of samples from the ANDEEP cruises reveals SO isopods to be highly abundant, rich and endemic as many other taxa in the region are known to be. Samples taken across three spatial scales include sites tens, hundreds and thousands of kilometers apart, sites stretching from the Southern Cape Basin (South Atlantic) to continental Antarctica and including depths from 1030 to 5000 m. Across these spatial scales we investigated ecological success (abundance) of peracarids at order, family, and species levels. Remarkably no significant relationship was found between abundance and spatial scale at any taxonomic level. That is, the variability in abundance at major regional scale is no different to that across just tens of kilometres. Most taxa were represented in only a few samples, but we suggest most inhabitants of the deep Weddell Sea environment to be very patchy rather than rare. Separate plots of family, genus, and species abundance by sample number revealed this to be true-nearly all genera and species are an order of magnitude more abundant than 'background' levels in just one or two samples. Our isopod and amphipod samples reveal the Atlantic sector of the SO, one of the most dynamic and important regions influencing the global deep-sea environment, to be highly complex. Our study suggests that, at least with regard to the study taxa and area, the typical comparisons of regions that are made by ecologists miss the scale at which crucial ecological variability happens. Even without ice scours creating topographical complexity (as on the shelo the deep Weddell Sea is clearly complex at scales smaller than that measured to date. (c) 2007 Elsevier Ltd. All rights reserved.</t>
  </si>
  <si>
    <t>Univ Hamburg, Biozentrum Grindel, D-20146 Hamburg, Germany; Univ Hamburg, Zool Museum, D-20146 Hamburg, Germany; British Antarctic Survey, Cambridge CB3 OET, England</t>
  </si>
  <si>
    <t>University of Hamburg; University of Hamburg; UK Research &amp; Innovation (UKRI); Natural Environment Research Council (NERC); NERC British Antarctic Survey</t>
  </si>
  <si>
    <t>Kaiser, S (corresponding author), Univ Hamburg, Biozentrum Grindel, Martin Luther King Pl 3, D-20146 Hamburg, Germany.</t>
  </si>
  <si>
    <t>stefanie.kaiser@uni-hamburg.de</t>
  </si>
  <si>
    <t>Kaiser, Stefanie/0000-0003-2026-4663</t>
  </si>
  <si>
    <t>NERC [bas010015] Funding Source: UKRI; Natural Environment Research Council [bas010015] Funding Source: researchfish</t>
  </si>
  <si>
    <t>10.1016/j.dsr2.2007.07.006</t>
  </si>
  <si>
    <t>WOS:000250974300010</t>
  </si>
  <si>
    <t>Malyutina, M; Brandt, A</t>
  </si>
  <si>
    <t>Malyutina, Marina; Brandt, Angelika</t>
  </si>
  <si>
    <t>Diversity and zoogeography of antarctic deep-sea munnopsidae (Crustacea, Isopoda, Asellota)</t>
  </si>
  <si>
    <t>Crustacea; Isopoda; Munnopsidae; biodiversity; species richness; Southern Ocean</t>
  </si>
  <si>
    <t>SOUTHERN-OCEAN; EPIBENTHIC SLEDGE; GENUS; MALACOSTRACA; ORIGIN; FAUNA; EURYCOPIDAE; PERACARIDA; RICHARDSON; CENTERS</t>
  </si>
  <si>
    <t>The family Munnopsidae was the most abundant and diverse among 22 isopod families collected by the ANDEEP deepsea expeditions in 2002 and 2005 in the Atlantic sector of the Southern Ocean. A total of 219 species from 31 genera and eight subfamilies were analysed. Only 20% species were known to science, and I I% of these were reported outside the ANDEEP area mainly from other parts of the SO or the South Atlantic deep sea. One hundred and five species (50%) were rare, occurring at only 1 or 2 stations. Seventy-two percent of all munnopsid specimens belong to the most numerous 25 species with a total abundance of more than 75 specimens; 5 of these species (40% of all specimens) belong to the main genera of the world munnopsid fauna, Eurycope, Disconectes, Betamorpha, and flyarachna. About half of all munnopsid specimens and 34% of all species belong to the subfamily Eurycopinae, which is followed in occurrence by the Lipomerinae (19%). Munnopsinae is the poorest represented subfamily (1.5%). The composition of the subfamilies for the munnopsid fauna of the ANDEEP area differs from that of northern faunas. Lipomerinae show a lower percentage (7%) in the North Atlantic and are absent in the Arctic and in the North Pacific. This subfamily is considered as young and having a centre of origin and diversification in the Southern Ocean. The analyses of the taxonomic diversity and the distribution of Antarctic munnopsids and the distribution of the world fauna of all genera of the family revealed that species richness and diversity of the genera are highest in the ANDEEP area. The investigated fauna is characterised also by high percentage of endemic species, the highest richness and diversity of the main munnopsid genera and subfamily Lipomerinae. This supports the hypothesis that the Atlantic sector of SO deep sea may be considered as the main contemporary centre of diversification of the Munnopsidae. It might serve as a diversity pump of species of the Munnopsidae to more northern Atlantic areas via the deep water originating in the Weddell Sea. (c) 2007 Elsevier Ltd. All rights reserved.</t>
  </si>
  <si>
    <t>FEB RAS, AV Zhirmunsky Inst Marine Biol, Vladivostok 690041, Russia</t>
  </si>
  <si>
    <t>Malyutina, M (corresponding author), FEB RAS, AV Zhirmunsky Inst Marine Biol, Palchevskogo 17, Vladivostok 690041, Russia.</t>
  </si>
  <si>
    <t>m_malyutina@mail.ru</t>
  </si>
  <si>
    <t>Malyutina, Marina/0000-0003-2161-3917</t>
  </si>
  <si>
    <t>10.1016/j.dsr2.2007.07.017</t>
  </si>
  <si>
    <t>WOS:000250974300011</t>
  </si>
  <si>
    <t>Schwabe, E; Bohn, JM; Engl, W; Linse, K; Schrödl, M</t>
  </si>
  <si>
    <t>Schwabe, Enrico; Bohn, Jens Michael; Engl, Winfried; Linse, Katrin; Schroedl, Michael</t>
  </si>
  <si>
    <t>Rich and rare -: First insights into species diversity and abundance of Antarctic abyssal Gastropoda (Mollusca)</t>
  </si>
  <si>
    <t>Antarctic; deep-sea; molluscs; gastropods; biodiversity</t>
  </si>
  <si>
    <t>DEEP-SEA; BENTHIC DIVERSITY; BODY-SIZE; NEOGASTROPODA; BIODIVERSITY; BIOGEOGRAPHY; PATTERNS; GENUS; CRUSTACEA; ISLANDS</t>
  </si>
  <si>
    <t>The abyssal depths of the polar oceans are thought to be low in diversity compared with the shallower polar shelves and temperate and tropical deep-sea basins. Our recent study on the gastropod fauna of the deep Southern Ocean gives evidence of the existence of a rich gastropod assemblage at abyssal depths. During the ANDEEP I and II expeditions to the southern Drake Passage, Northwestern Weddell Sea, and South Sandwich Trench, gastropods were collected by bottom and Agassiz trawls, epibenthic sledge, and multicorer, at 40 stations in depths between 127 and 5194m. On the whole, 473 specimens, corresponding to 93 species of 36 families, were obtained. Of those, 414 specimens were caught below 750m depth and refer to 84 (90%) benthic species of 32 (89%) families. Most families were represented by a single species only. The numerically dominant families were Skeneidac and Buccinidae (with 10 and I I species, respectively), Eulimidae and Trochidae (with 9 species each), and Turridae (6 species). Thirty-Seven benthic deep-sea species (44%) were represented by a single specimen, and another 20 species (24%) were found at a single station, suggesting that more than two thirds of Antarctic deep-sea gastropod species are very rare or have a very scattered distribution. Of the 27 species occurring at two or more deep-sea stations, 14 were collected with different gear. Approximately half of the deep-water species are new to science or have been recently described. The present investigation increases the total number of recorded benthic Antarctic deep-sea gastropods (below 750m) from 115 to 177. The previously known depth ranges have been extended, often considerably, for 31 species. The collected deep-sea gastropods comprise both eurybathic shelf species (29%) and apparently true deep-sea species (58%); some of the latter may belong to a so far unknown Antarctic abyssal fauna. Geographical ranges of the collected Antarctic benthic deep-sea gastropod species appear limited, and all these 84 species seem endemic to Antarctica south of the Polar Front. Comparing diversity and abundances based on epibenthic sledge samples, there is no clear relationship between Antarctic deep-sea gastropod abundance and species richness with depth. However, both Antarctic and adjacent deep-sea areas are still far from being adequately sampled to allow more comprehensive conclusions. (c) 2007 Elsevier Ltd. All rights reserved.</t>
  </si>
  <si>
    <t>Bavarian State Collect Zool, D-81247 Munich, Germany; British Antarctic Survey, NERC, Cambridge CB3 0ET, England</t>
  </si>
  <si>
    <t>Schrödl, M (corresponding author), Bavarian State Collect Zool, Munchhausenstr 21, D-81247 Munich, Germany.</t>
  </si>
  <si>
    <t>Michael.Schroedl@zsm.mwn.de</t>
  </si>
  <si>
    <t>Linse, Katrin/0000-0003-3477-3047</t>
  </si>
  <si>
    <t>10.1016/j.dsr2.2007.07.010</t>
  </si>
  <si>
    <t>WOS:000250974300014</t>
  </si>
  <si>
    <t>Linse, K; Brandt, A; Bohn, JM; Danis, B; De Broyer, C; Ebbe, B; Heterier, V; Janussen, D; González, PJL; Schüller, M; Schwabe, E; Thomson, MRA</t>
  </si>
  <si>
    <t>Linse, Katrin; Brandt, Angelika; Bohn, Jens M.; Danis, Bruno; De Broyer, Claude; Ebbe, Brigitte; Heterier, Vincent; Janussen, Dorte; Gonzalez, Pablo J. Lopez; Schueller, Myriam; Schwabe, Enrico; Thomson, Michael R. A.</t>
  </si>
  <si>
    <t>Macro- and megabenthic assemblages in the bathyal and abyssal Weddell Sea (Southern Ocean)</t>
  </si>
  <si>
    <t>macrofauna; megafauna; benthos; deep-sea; antarctica; south Atlantic</t>
  </si>
  <si>
    <t>KING-GEORGE-ISLAND; DEEP-SEA; SPECIES RICHNESS; SHETLAND ISLANDS; SOFT-BOTTOM; CONTINENTAL MARGINS; EQUATORIAL PACIFIC; HYDROTHERMAL VENTS; NORTHEAST ATLANTIC; EPIBENTHIC SLEDGE</t>
  </si>
  <si>
    <t>The assemblages inhabiting the continental shelf around Antarctica are known to be very patchy, in large part due to deep iceberg impacts. The present study shows that richness and abundance of much deeper benthos, at slope and abyssal depths, also vary greatly in the Southern and South Atlantic oceans. On the ANDEEP III expedition, we deployed 16 Agassiz trawls to sample the zoobenthos at depths from 1055 to 4930m across the northern Weddell Sea and two South Atlantic basins. A total of 5933 specimens, belonging to 44 higher taxonomic groups, were collected. Overall the most frequent taxa were Ophiuroidea, Bivalvia, Polychaeta and Asteroidea, and the most abundant taxa were Malacostraca, Polychaeta and Bivalvia. Species richness per station varied from 6 to 148. The taxonomic composition of assemblages, based on relative taxon richness, varied considerably between sites but showed no relation to depth. The former three most abundant taxa accounted for 10-30% each of all taxa present. Standardised abundances based on trawl catches varied between I and 252 individuals per 1000 m2. Abundance significantly decreased with increasing depth, and assemblages showed high patchiness in their distribution. Cluster analysis based on relative abundance showed changes of community structure that were not linked to depth, area, sediment grain size or temperature. Generally abundances of zoobenthos in the abyssal Weddell Sea are lower than shelf abundances by several orders of magnitude. (c) 2007 Elsevier Ltd. All rights reserved.</t>
  </si>
  <si>
    <t>British Antarctic Survey, NERC, Cambridge CB3 0ET, England; Univ Hamburg, Zoolog Inst &amp; Museum, D-20147 Hamburg, Germany; Zoolog Staatssammlung Munchen, D-81247 Munich, Germany; Royal Belgian Inst Nat Sci, B-1000 Brussels, Belgium; DZMB CeDAMar, Forsch Inst Senckenberg, Forsch Museum Konig, D-53113 Bonn, Germany; Univ Libre Bruxelles, Biol Marine Lab, B-1050 Brussels, Belgium; Sekt Marine Evertebraten 1, Forsch Inst, D-60325 Frankfurt, Germany; Univ Seville, Fac Biol, Dept Fisiol &amp; Zool, E-41012 Seville, Spain; Univ Leeds, Sch Earth Sci, Leeds LS2 9JT, W Yorkshire, England; Sekt Marine Evertebraten 1, Naturmuseum Senckenberg, D-60325 Frankfurt, Germany</t>
  </si>
  <si>
    <t>UK Research &amp; Innovation (UKRI); Natural Environment Research Council (NERC); NERC British Antarctic Survey; University of Hamburg; Royal Belgian Institute of Natural Sciences; Senckenberg Gesellschaft fur Naturforschung (SGN); Universite Libre de Bruxelles; University of Sevilla; University of Leeds; Senckenberg Gesellschaft fur Naturforschung (SGN)</t>
  </si>
  <si>
    <t>Linse, K (corresponding author), British Antarctic Survey, NERC, High Cross,Madingley Rd, Cambridge CB3 0ET, England.</t>
  </si>
  <si>
    <t>kl@bas.ac.uk</t>
  </si>
  <si>
    <t>Brandt, Angelika/C-1630-2018; Lopez-González, Pablo J./Y-6440-2018; Danis, Bruno/AAS-8444-2021</t>
  </si>
  <si>
    <t>Lopez-González, Pablo J./0000-0002-7348-6270; Danis, Bruno/0000-0002-9037-7623; Linse, Katrin/0000-0003-3477-3047</t>
  </si>
  <si>
    <t>10.1016/j.dsr2.2007.07.011</t>
  </si>
  <si>
    <t>WOS:000250974300015</t>
  </si>
  <si>
    <t>Janussen, D; Tendal, OS</t>
  </si>
  <si>
    <t>Janussen, Dorte; Tendal, Ole Secher</t>
  </si>
  <si>
    <t>Diversity and distribution of Porifera in the bathyal and abyssal Weddell Sea and adjacent areas</t>
  </si>
  <si>
    <t>sponges; antarctic; deep-sea; biodiversity; ANDEEP</t>
  </si>
  <si>
    <t>SPECIES COMPOSITION; SPONGES; HEXACTINELLIDA; BORNHOLM</t>
  </si>
  <si>
    <t>During the ANDEEP I-III expeditions, we obtained a rich and highly diverse sponge collection from the deep Weddell Sea. All the three Poriferan classes, Calcarea, Demospongiae and Hexactinellida, were well represented. Among this material, we have identified a total of 76 species from 47 genera and 30 families. Of these, 17 species (22%) are new to science and 37 (49%) new for the Southern Ocean. Particularly remarkable is the considerable depth of the boundary between bathyal and abyssal sponge faunas. Both Demospongiae and Hexactinellida show a strong shift in their taxonomic composition from a typical shelf assemblage to a more cosmopolitan deep-sea fauna at around 2500 in. Within the Demospongiae, the families Polymastiidae and Cladorhizidae (carnivorous sponges) are particularly abundant and very diverse. The Calcarea are recorded for the first time from the Antarctic deep sea. The type of sampling gear used, especially the epibenthic sledge, was an important factor for the successful collection of deep-sea sponges during the ANDEEP campaigns. (c) 2007 Elsevier Ltd. All rights reserved.</t>
  </si>
  <si>
    <t>Forsch Inst, D-60325 Frankfurt, Germany; Naturmuseum Senckenberg, D-60325 Frankfurt, Germany; Univ Copenhagen, Zool Museum, SNM, DK-2100 Copenhagen, Denmark</t>
  </si>
  <si>
    <t>Senckenberg Gesellschaft fur Naturforschung (SGN); University of Copenhagen</t>
  </si>
  <si>
    <t>Janussen, D (corresponding author), Forsch Inst, Senckenberganlage 25, D-60325 Frankfurt, Germany.</t>
  </si>
  <si>
    <t>Dorte.Janussen@senckenberg.de</t>
  </si>
  <si>
    <t>10.1016/j.dsr2.2007.07.012</t>
  </si>
  <si>
    <t>WOS:000250974300016</t>
  </si>
  <si>
    <t>Rodriguez, E; López-González, PJ; Gilib, JM</t>
  </si>
  <si>
    <t>Rodriguez, E.; Lopez-Gonzalez, P. J.; Gilib, J. M.</t>
  </si>
  <si>
    <t>Biogeography of Antarctic sea anemones (Anthozoa, Actiniaria):: What do they tell us about the origin of the Antarctic benthic fauna?</t>
  </si>
  <si>
    <t>biogeography; sea anemones; actiniaria; corallimorpharia; Antarctica; southern Ocean</t>
  </si>
  <si>
    <t>SOUTHWESTERN ATLANTIC-OCEAN; EASTERN WEDDELL SEA; N-SP; CNIDARIA; CRUSTACEA; GENUS; ACTINOSTOLIDAE; COELENTERATA; MALACOSTRACA; DIVERSITY</t>
  </si>
  <si>
    <t>The present study of the biogeography of the Antarctic sea anemone fauna is based on new records and redescriptions of material collected from the Weddell Sea and Peninsula Antarctica, and on an update of the bibliographic data of the Antarctic and sub-Antarctic regions. The faunal compositions at different levels, the geographic and bathymetric distributions of the sea anemone fauna, and the affinities within the continent and with the sub-Antarctic fauna have been studied. Furthermore, the relationships of the sea anemone fauna, of the Southern Ocean, the Mediterranean Sea and Hawaii have been analysed. In this context, the origin of the Antarctic benthic fauna is discussed. (c) 2007 Elsevier Ltd. All rights reserved.</t>
  </si>
  <si>
    <t>Univ Seville, Fac Biol, Dept Fisiol &amp; Zool, Seville 41012, Spain; CSIC, CMIMA, Inst Ciencias Mar, Dept Biol Marine &amp; Oceanografia, Barcelona 08003, Spain</t>
  </si>
  <si>
    <t>University of Sevilla; Consejo Superior de Investigaciones Cientificas (CSIC); CSIC - Centro Mediterraneo de Investigaciones Marinas y Ambientales (CMIMA); CSIC - Instituto de Ciencias del Mar (ICM)</t>
  </si>
  <si>
    <t>Rodriguez, E (corresponding author), Ohio State Univ, Dept Ecol Evolut &amp; Organismal Biol, 1315 Kinnear Rd, Columbus, OH 43212 USA.</t>
  </si>
  <si>
    <t>fani@us.es</t>
  </si>
  <si>
    <t>Lopez-González, Pablo J./Y-6440-2018</t>
  </si>
  <si>
    <t>Lopez-González, Pablo J./0000-0002-7348-6270</t>
  </si>
  <si>
    <t>10.1016/j.dsr2.2007.07.013</t>
  </si>
  <si>
    <t>WOS:000250974300017</t>
  </si>
  <si>
    <t>Pollard, RT; Venables, HJ; Read, JF; Allen, JT</t>
  </si>
  <si>
    <t>Pollard, R. T.; Venables, H. J.; Read, J. F.; Allen, J. T.</t>
  </si>
  <si>
    <t>Large-scale circulation around the Crozet Plateau controls an annual phytoplankton bloom in the Crozet Basin</t>
  </si>
  <si>
    <t>circulation; hydrography; drifters; subsurface drifters; altimetry; algal blooms</t>
  </si>
  <si>
    <t>SOUTHERN INDIAN-OCEAN; FRONTS</t>
  </si>
  <si>
    <t>The circulation in the vicinity of the Crozet Plateau in the Southwest Indian Ocean sector of the Southern Ocean is examined using hydrographic sections, Argo floats, surface drifters, and satellite altimetry. All four techniques confirm that a major branch of the Antarctic Circumpolar Current, the SubAntarctic Front (SAF), flows anticyclonically round the Del Ca (n) over tildeo Rise west of the Crozet Plateau, i.e. eastward to the south of the Del Ca (n) over tildeo Rise, then northward and sometimes northwestward into the Crozet Basin, before turning back eastward in a combined front with the Agulhas Return Current and the SubTropical Front. This S-bend in the SAF is a permanent feature, controlled by the bathymetry, as has been inferred previously by Pollard and Read [Pollard, R.T., Read, J.F., 2001. Circulation pathways and transports of the Southern Ocean in the vicinity of the Southwest Indian Ridge. Journal of Geophysical Research, 106(C2), 2881-2898]. Similar, but much weaker, anticyclonic flow is found round the Crozet Plateau itself, with no more than 5-10 x 10(6) m(3) s(-1) turning north to the east of the Crozet Islands. Circulation north of the Crozet Plateau, between the Plateau and the S-bend of the SAY, is extremely weak, fed only by anticyclonic meanders breaking off the SAF into the area from the west or north, and occasional input from the northward, partially wind-driven (i.e. Ekman) flow south and east of the islands. In consequence of the weak circulation, dissolved iron from the land or sediments of the Crozet Plateau and Islands can build up during the winter in the Polar Frontal Zone between Crozet and the SAF, which gives rise to an annual bloom in this area. Biological evidence from satellite images, and from phytoplankton and zooplankton distributions, supports the circulation pattern we develop. This pattern confirms that patchiness of productivity in the bloom area results from close juxtaposition of water that has entered the area from the west from the SAF and from the south and east after flowing past the islands. Flow from the south and east has had a chance to entrain iron from the islands and sediments whereas flow from the west has not. (C) 2007 Elsevier Ltd. All rights reserved.</t>
  </si>
  <si>
    <t>Natl Oceanog Ctr, Southampton SO14 3ZH, Hants, England</t>
  </si>
  <si>
    <t>Pollard, RT (corresponding author), Natl Oceanog Ctr, Waterfront Campus,European Way, Southampton SO14 3ZH, Hants, England.</t>
  </si>
  <si>
    <t>rtp@noc.soton.ac.uk</t>
  </si>
  <si>
    <t>Allen, John Taylor/AHB-3419-2022</t>
  </si>
  <si>
    <t>Allen, John Taylor/0000-0001-7357-6623</t>
  </si>
  <si>
    <t>NERC [soc010008] Funding Source: UKRI; Natural Environment Research Council [soc010008] Funding Source: researchfish</t>
  </si>
  <si>
    <t>18-20</t>
  </si>
  <si>
    <t>10.1016/j.dsr2.2007.06.012</t>
  </si>
  <si>
    <t>239BH</t>
  </si>
  <si>
    <t>WOS:000251492300002</t>
  </si>
  <si>
    <t>Venables, HJ; Pollard, RT; Popova, EE</t>
  </si>
  <si>
    <t>Venables, Hugh J.; Pollard, Raymond T.; Popova, Ekaterma E.</t>
  </si>
  <si>
    <t>Physical conditions controlling the development of a regular phytoplankton bloom north of the Crozet Plateau, Southern Ocean</t>
  </si>
  <si>
    <t>SeaWiFS; MODIS; Argo; Sub-Antarctic Front (SAF); phytoplankton bloom; mixed-layer depth</t>
  </si>
  <si>
    <t>IRON FERTILIZATION; KERGUELEN-ISLANDS; ANTARCTIC WATERS; CHLOROPHYLL-A; PACIFIC-OCEAN; INDIAN-OCEAN; GROWTH-RATES; BIOMASS; SEAWIFS; LIGHT</t>
  </si>
  <si>
    <t>A phytoplankton bloom occurs north of the Crozet Plateau annually from September to January. The area, bounded to the north by the Sub-Antarctic Front, is the most northerly of the areas of regular high productivity in the otherwise high-nutrient low-chlorophyll Southern Ocean. Chlorophyll concentrations are at background values to the south and only slightly enhanced over the shallow plateau, producing three contrasting productivity regimes. The CROZet natural iron bloom and EXport experiment (CROZEX) project was aimed at testing the hypothesis that the bloom is caused by natural iron fertilisation from the sediments and islands of the Crozet Plateau. In this paper, the temporal and spatial progression of the bloom and the contrasting productivity regimes are investigated using SeaWiFS and MODIS chlorophyll-a (chl-a), photosynthetically available radiation (PAR) from SeaWiFS, QuikSCAT wind-stress data, Argo float profiles and data from three research cruises to the region. Comparison of satellite chl-a data against in situ measurements showed that the satellite data were lower by a factor of approximately 2. Iron, light and grazing are all important in explaining the different productivity regimes. To the north, light is dominant in controlling the timing and location of the bloom initiation, but the spatial distribution of the peak chl-a values obtained through the season is associated with the flow pattern and their proximity to the plateau and so are likely driven by nutrient availability. Mixed-layer depths in Argo float density profiles show a shallowing of the mixed-layer depth to the north of 10.8+/-1.0 m degree(-1) across the study area. This gradient, together with a latitudinal gradient in PAR, is sufficient to explain the observed spatial progression of the bloom. (C) 2007 Elsevier Ltd. All rights reserved.</t>
  </si>
  <si>
    <t>Venables, HJ (corresponding author), British Antarctic Survey, High Cross,Madingley Rd, Cambridge CB3 0ET, England.</t>
  </si>
  <si>
    <t>hjv@bas.ac.uk</t>
  </si>
  <si>
    <t>Popova, Ekaterina E/B-4520-2012</t>
  </si>
  <si>
    <t>Popova, Ekaterina E/0000-0002-2012-708X</t>
  </si>
  <si>
    <t>NERC [soc010006, soc010008] Funding Source: UKRI; Natural Environment Research Council [soc010006, soc010008] Funding Source: researchfish</t>
  </si>
  <si>
    <t>10.1016/j.dsr2.2007.06.014</t>
  </si>
  <si>
    <t>WOS:000251492300004</t>
  </si>
  <si>
    <t>Charette, MA; Gonneea, ME; Morris, PJ; Statham, P; Fones, G; Planquette, H; Salter, I; Garabato, AN</t>
  </si>
  <si>
    <t>Charette, Matthew A.; Gonneea, Meagan E.; Morris, Paul J.; Statham, Peter; Fones, Gary; Planquette, Helene; Salter, Ian; Garabato, Alberto Naveira</t>
  </si>
  <si>
    <t>Radium isotopes as tracers of iron sources fueling a Southern Ocean phytoplankton bloom</t>
  </si>
  <si>
    <t>radium isotopes; iron; productivity; ocean mixing; Southern Ocean</t>
  </si>
  <si>
    <t>COASTAL WATERS; KERGUELEN-ISLANDS; ANTARCTIC OCEAN; RA-228; DIFFUSION; ATLANTIC; ESTUARY; RIVER</t>
  </si>
  <si>
    <t>Elevated levels of productivity in the wake of Southern Ocean island systems are common despite the fact that they are encircled by high-nutrient low-chlorophyll (HNLC) waters. In the Crozet Plateau region, it has been hypothesized that iron from island runoff or sediments of the plateau could be fueling the austral summer phytoplankton bloom. Here, we use radium isotopes to quantify the rates of surface-ocean iron supply fueling the bloom in the Crozet Plateau region. A ID eddy-diffusion-mixing model applied to a (228)Ra profile (t(1/2) = 5.75 years) at a station north of the islands suggests fast vertical mixing in the upper 300 m (K(z) = 11-100 cm(2) s(-1)) with slower mixing between 300 and 1000 m (K(z) = 1.5cm(2) s(-1)). This estimate is discussed in the context of K, derived from the CTD/LADCP data. In combination with the dissolved Fe profile at this location, we estimated a vertical flux of between 5.6 and 31 nmol Fem(-2)d(-1). The cross-plateau gradients in the short-lived radium isotopes, (224)Ra (t(1/2) = 3.66d) and (223)Ra (t(1/2) = 11.4d), yielded horizontal eddy diffusivities (K(h)) of 39 and 6.6 m(2) s(-1), respectively. If we assume that the islands (surface runoff) alone were supplying dissolved Fe to the bloom region, then the flux estimates range from 2.3 to 14 nmol Fe m(-2) d(-1). If the plateau sediments are considered a source of Fe, and conveyed to the bloom region through deep winter mixing combined with horizontal transport, then this flux may be as high as 64-390 nmol Fe m(-2) d(-1). Combined, these Fe sources are sufficient to initiate and maintain the annual phytoplankton bloom. (C) 2007 Elsevier Ltd. All rights reserved.</t>
  </si>
  <si>
    <t>Woods Hole Oceanog Inst, Dept Marine Chem &amp; Geochem, Woods Hole, MA 02543 USA; Natl Oceanog Ctr, Southampton, Hants, England</t>
  </si>
  <si>
    <t>Woods Hole Oceanographic Institution; NERC National Oceanography Centre</t>
  </si>
  <si>
    <t>Charette, MA (corresponding author), Woods Hole Oceanog Inst, Dept Marine Chem &amp; Geochem, Woods Hole, MA 02543 USA.</t>
  </si>
  <si>
    <t>mcharette@whoi.edu</t>
  </si>
  <si>
    <t>Fones, Gary/G-2489-2010; Charette, Matthew/I-9495-2012; Garabato, Alberto Naveira/AAQ-1114-2020; Salter, Ian/A-7404-2011; Salter, Ian/AAI-1015-2021; Planquette, Helene/B-4990-2013</t>
  </si>
  <si>
    <t>Fones, Gary/0000-0002-1999-0716; Garabato, Alberto Naveira/0000-0001-6071-605X; Salter, Ian/0000-0002-4513-0314; Eagle, Meagan/0000-0001-5072-2755; Planquette, Helene/0000-0002-2235-5158</t>
  </si>
  <si>
    <t>Natural Environment Research Council [NE/C517633/1, NE/B502844/1] Funding Source: researchfish</t>
  </si>
  <si>
    <t>Natural Environment Research Council(UK Research &amp; Innovation (UKRI)Natural Environment Research Council (NERC))</t>
  </si>
  <si>
    <t>10.1016/j.dsr2.2007.06.003</t>
  </si>
  <si>
    <t>WOS:000251492300006</t>
  </si>
  <si>
    <t>Planquette, H; Statham, PJ; Fones, GR; Charette, MA; Moore, CM; Salter, I; Nedelec, FH; Taylor, SL; French, M; Baker, AR; Mahowald, N; Jickells, TD</t>
  </si>
  <si>
    <t>Planquette, Helene; Statham, Peter J.; Fones, Gary R.; Charette, Matthew A.; Moore, C. Mark; Salter, Ian; Nedelec, Florence H.; Taylor, Sarah L.; French, M.; Baker, A. R.; Mahowald, N.; Jickells, T. D.</t>
  </si>
  <si>
    <t>Dissolved iron in the vicinity of the Crozet Islands, Southern Ocean</t>
  </si>
  <si>
    <t>dissolved iron; Crozet Islands; Southern Ocean; HNLC</t>
  </si>
  <si>
    <t>PHYTOPLANKTON GROWTH; CARBON SEQUESTRATION; KERGUELEN-ISLANDS; ATLANTIC-OCEAN; TRACE-METALS; FERTILIZATION; ENRICHMENT; DEPOSITION; NUTRIENTS; BASIN</t>
  </si>
  <si>
    <t>The annual phytoplankton bloom occurring north of the Crozet Plateau provides a rare opportunity to examine the hypothesis that natural iron fertilization can alleviate high-nutrient low-chlorophyll (HNLC) conditions normally associated with the Southern Ocean. Therefore, during CROZet natural iron bloom and EXport experiment (CROZEX), a large multidisciplinary study performed between November 2004 and January 2005, measurements of total dissolved iron (D-Fe &lt;= 0.2 mu m) were made on seawater from around the islands and atmospheric iron deposition estimated from rain and aerosol samples. D-Fe concentrations were determined by flow injection analysis with N,N-dimethyl-p-phenylenediamine dihydrochloride (DPD) catalytic spectrophotometric detection. DFe concentrations varied between 0.086 and 2.48 nM, with low values in surface waters. Enrichment of dissolved iron ( &gt; 1 nM) at close proximity to the islands suggests that the plateau and the associated sediments are a source of iron. Waters farther north also appear to be affected by this input of coastal and shelf origin, although dissolved iron concentrations decrease as a function of distance to the north of the plateau with a gradient of similar to 0.07 nM km(-1) at the time of sampling. Using lateral and vertical diffusion coefficients derived from Ra isotope profiles and also estimates of atmospheric inputs, it was then possible to estimate a D-Fe concentration of similar to 0.55 nM to the north of the islands prior to the bloom event, which is sufficient to initiate the bloom, the lateral island source being the largest component. A similar situation is observed for other Sub-Antarctic Islands such as Kerguelen, South Georgia, that supply dissolved iron to their surrounding waters, thus enhancing chlorophyll concentrations. (C) 2007 Elsevier Ltd. All rights reserved.</t>
  </si>
  <si>
    <t>Univ Southampton, Natl Oceanog Ctr, Southampton SO17 3ZH, Hants, England; Univ Portsmouth, Sch Earth &amp; Environm Sci, Portsmouth PO1 3QL, Hants, England; Woods Hole Oceanog Inst, Woods Hole, MA 02543 USA; Univ Essex, Colchester CO4 3SQ, Essex, England; Univ E Anglia, Sch Environm Sci, Norwich NR4 7TJ, Norfolk, England; Natl Ctr Atmospher Res, Boulder, CO 80307 USA</t>
  </si>
  <si>
    <t>NERC National Oceanography Centre; University of Southampton; University of Portsmouth; Woods Hole Oceanographic Institution; University of Essex; University of East Anglia; National Center Atmospheric Research (NCAR) - USA</t>
  </si>
  <si>
    <t>Planquette, H (corresponding author), Univ Southampton, Natl Oceanog Ctr, Southampton SO17 3ZH, Hants, England.</t>
  </si>
  <si>
    <t>hfp@noc.soton.ac.uk</t>
  </si>
  <si>
    <t>Baker, Alex R/D-1233-2011; Salter, Ian/A-7404-2011; Fones, Gary/G-2489-2010; Charette, Matthew/I-9495-2012; Menet-Nedelec, Florence H. A./K-2262-2015; Mahowald, Natalie M/D-8388-2013; Salter, Ian/AAI-1015-2021; Planquette, Helene/B-4990-2013</t>
  </si>
  <si>
    <t>Fones, Gary/0000-0002-1999-0716; Menet-Nedelec, Florence H. A./0000-0002-0933-2509; Mahowald, Natalie M/0000-0002-2873-997X; Salter, Ian/0000-0002-4513-0314; French, Megan Anne/0000-0002-5837-1360; Planquette, Helene/0000-0002-2235-5158; Moore, Mark/0000-0002-9541-6046; Baker, Alex/0000-0002-8365-8953</t>
  </si>
  <si>
    <t>NERC [NE/C518114/2] Funding Source: UKRI; Natural Environment Research Council [NE/B502844/1, NE/C518114/2] Funding Source: researchfish</t>
  </si>
  <si>
    <t>10.1016/j.dsr2.2007.06.019</t>
  </si>
  <si>
    <t>WOS:000251492300007</t>
  </si>
  <si>
    <t>Moore, CM; Seeyave, S; Hickman, AE; Allen, JT; Lucas, MI; Planquette, H; Pollard, RT; Poulton, AJ</t>
  </si>
  <si>
    <t>Moore, C. Mark; Seeyave, Sophie; Hickman, Anna E.; Allen, John T.; Lucas, Mike I.; Planquette, Helene; Pollard, Raymond T.; Poulton, Alex J.</t>
  </si>
  <si>
    <t>Iron-light interactions during the CROZet natural iron bloom and EXport experiment (CROZEX) I: Phytoplankton growth and photophysiology</t>
  </si>
  <si>
    <t>phytoplankton; iron limitation; light; Southern Ocean</t>
  </si>
  <si>
    <t>ANTARCTIC SOUTHERN-OCEAN; A MAXIMA DCMS; CHLOROPHYLL-A; PRIMARY PRODUCTIVITY; PHOTOSYNTHETIC APPARATUS; ENRICHMENT EXPERIMENTS; PHOTOSYSTEM-II; CO-LIMITATION; WATERS; AVAILABILITY</t>
  </si>
  <si>
    <t>The CROZet natural iron bloom and EXport experiment (CROZEX) investigated phytoplankton blooms in the vicinity of the Crozet Plateau in the polar frontal zone (PFZ) of the Southern Ocean. Peak chlorophyll concentrations reached during an intense bloom within naturally iron (Fe)-fertilised regions north of the plateau were an order of magnitude higher than those observed in deeper mixed layers and low-Fe waters to the south. To establish the factors influencing phytoplankton dynamics, a suite of in situ phytoplankton physiological measurements and shipboard Fe-light perturbation experiments was performed. Addition of Fe in experiments performed during bloom decline north of the plateau resulted in increased accumulation of phytoplankton biomass and changes in a number of phytoplankton physiological characteristics. In particular photosystern II (PSII) photochemical efficiencies (F-v/F-m) measured by fast repetition rate fluorometry increased above in situ values within 24 h of Fe amendment, suggesting that Fe stress had contributed to bloom termination. In contrast, responses to Fe amendment were minor within an experiment initiated in low-silicic acid, post-bloom waters south of the Plateau. Within the intense bloom in the north, light limitation due to self-shading may have constrained the peak phytoplankton standing stock. However, in the absence of Fe amendment, incubation at higher than in situ irradiance levels had little influence on phytoplankton biomass accumulation for declining bloom populations. Instead reduced F-v/F-m, reflecting increased photoinhibitory damage to PSII, was observed in highlight incubations and was also apparent in situ. Interactions between Fe and light availability thus influenced phytoplankton physiology and growth and potentially contributed to bloom longevity during CROZEX. (C) 2007 Elsevier Ltd. All rights reserved.</t>
  </si>
  <si>
    <t>Univ Essex, Dept Biol Sci, Colchester CO4 3SQ, Essex, England; Natl Oceanog Ctr, Southampton SO14 3ZH, Hants, England; Univ Cape Town, Dept Zool, ZA-7701 Cape Town, South Africa</t>
  </si>
  <si>
    <t>University of Essex; NERC National Oceanography Centre; University of Cape Town</t>
  </si>
  <si>
    <t>Moore, CM (corresponding author), Univ Essex, Dept Biol Sci, Colchester CO4 3SQ, Essex, England.</t>
  </si>
  <si>
    <t>cmm297@noc.soton.ac.uk</t>
  </si>
  <si>
    <t>Hickman, Anna E/A-9351-2011; Allen, John Taylor/AHB-3419-2022; Poulton, Alex/A-9859-2012; Planquette, Helene/B-4990-2013</t>
  </si>
  <si>
    <t>Allen, John Taylor/0000-0001-7357-6623; Hickman, Anna/0000-0002-2774-3934; Poulton, Alex/0000-0002-5149-6961; Moore, Mark/0000-0002-9541-6046; Seeyave, Sophie/0000-0002-4583-2869; Planquette, Helene/0000-0002-2235-5158</t>
  </si>
  <si>
    <t>Natural Environment Research Council [soc010008, NE/C518114/2] Funding Source: researchfish; NERC [soc010008, NE/C518114/2] Funding Source: UKRI</t>
  </si>
  <si>
    <t>10.1016/j.dsr2.2007.06.011</t>
  </si>
  <si>
    <t>WOS:000251492300009</t>
  </si>
  <si>
    <t>Moore, CM; Hickman, AE; Poulton, AJ; Seeyave, S; Lucas, MI</t>
  </si>
  <si>
    <t>Moore, C. Mark; Hickman, Anna E.; Poulton, Alex J.; Seeyave, Sophie; Lucas, Mike I.</t>
  </si>
  <si>
    <t>Iron-light interactions during the CROZet natural iron bloom and EXport experiment (CROZEX): II - Taxonomic responses and elemental stoichiometry</t>
  </si>
  <si>
    <t>ANTARCTIC SOUTHERN-OCEAN; PHYTOPLANKTON PROCESSES; COMMUNITY STRUCTURE; GROWTH-RATES; ROSS SEA; AVAILABILITY; DIATOMS; SILICATE; RATIO; SIZE</t>
  </si>
  <si>
    <t>The CROZet natural iron bloom and Export experiment (CROZEX) investigated the annual phytoplankton bloom that occurs in the vicinity of the Crozet plateau in the Polar Frontal Zone (PFZ) of the Southern Ocean. Shipboard manipulation experiments designed to investigate potential responses of phytoplankton community structure and elemental stoichiometry to iron (Fe) and/or light perturbation are compared to in situ data collected during CROZEX. The outcome of individual experiments was strongly influenced by initial phytoplankton community structure. For example Fe amendment of high ( &gt; 8 mu M) silicic acid waters resulted in a strong response by medium-sized diatoms, including Eucampia antarctica. In contrast Phaeocystis antarctica dominated the community response to increased Fe within an experiment initiated during the early declining stage of the bloom. Conversely, small diatoms responded more strongly to increased irradiance, while the population of very large diatoms remained relatively static. Consistent with experimental results, the intense natural blooms north of the Crozet plateau were observed to be dominated by either P. antarctica or medium-sized diatoms while small phytoplankton and large diatoms dominated lower-chlorophyll waters in the south. In situ data and results from experiments supported previous observations of lower nitrate to phosphate removal ratios for diatoms compared to P. antarctica. Experimental and in situ data also supported previous work showing that silicic acid to nitrate removal ratios can be reduced under conditions of enhanced Fe availability. Higher irradiance decreased this ratio still further. Interactions between Fe and light were thus likely to have contributed to the observed decoupling of the major element cycles between the intense bloom that occurs north of Crozet and more typical PFZ conditions to the South. Specifically, silicic acid became exhausted in both systems, with drawdown in the south potentially resulting from co-limitation of diatom growth by Fe and light. In contrast, increased Fe supply in the north enhanced nitrogen, phosphorous and carbon drawdown in ratios that were dependent on the community composition of the resultant bloom. (C) 2007 Elsevier Ltd. All rights reserved.</t>
  </si>
  <si>
    <t>Hickman, Anna E/A-9351-2011; Poulton, Alex/A-9859-2012</t>
  </si>
  <si>
    <t>Moore, Mark/0000-0002-9541-6046; Seeyave, Sophie/0000-0002-4583-2869; Poulton, Alex/0000-0002-5149-6961; Hickman, Anna/0000-0002-2774-3934</t>
  </si>
  <si>
    <t>Natural Environment Research Council [NE/C518114/2, soc010008] Funding Source: researchfish; NERC [NE/C518114/2, soc010008] Funding Source: UKRI</t>
  </si>
  <si>
    <t>10.1016/j.dsr2.2007.06.015</t>
  </si>
  <si>
    <t>WOS:000251492300010</t>
  </si>
  <si>
    <t>Poulton, AJ; Moore, CM; Seeyave, S; Lucas, MI; Fielding, S; Ward, P</t>
  </si>
  <si>
    <t>Poulton, Alex J.; Moore, C. Mark; Seeyave, Sophie; Lucas, Mike I.; Fielding, Sophie; Ward, Peter</t>
  </si>
  <si>
    <t>Phytoplankton community composition around the Crozet Plateau, with emphasis on diatoms and Phaeocystis</t>
  </si>
  <si>
    <t>diatoms; Phaeocystis antarctica; Thalassionema nitzschioides; Crozet Plateau</t>
  </si>
  <si>
    <t>EUPHAUSIA-SUPERBA DANA; SOUTHERN-OCEAN; IRON AVAILABILITY; MARINE DIATOMS; NORTH-SEA; GROWTH; LIMITATION; IMPACT; SIZE; FERTILIZATION</t>
  </si>
  <si>
    <t>Phytoplankton community composition has important implications for upper-ocean biogeochemistry and export production. The species composition of the phytoplankton community (diatoms, Phaeocystis antarctica) was examined around the Crozet Plateau (Southern Ocean) during the CROZEX project in order to address spatial changes in species composition. Phytoplankton biomass was dominated by P. antarctica to the north of the Crozet Plateau, while south of the plateau a diverse community including several large diatom species (e.g., Corethron pennatum) occurred. The phytoplankton community in the vicinity of the Crozet Plateau and Crozet islands included a mixture of P. antarctica and Thalassionema nitzschioides. High numbers of empty diatom frustules characterised many of the sampling sites, with similar species present in the water column as both full and empty cells. Multivariate analysis was used to analyse both the level of similarity between the different sampling sites and the co-occurrence of species. Cluster analysis of the sampling sites showed distinct clusters that differed in terms of species composition and environmental parameters. Recurrent species analysis showed groupings which relate to phytoplankton cell size; groupings separated (i) small (similar to 15 mu m) diatom species, (ii) medium (similar to 35 mu m) and large (similar to 90 mu m) diatom species as well as P. antarctica colonies, and (iii) giant (similar to 300 mu m) diatoms. The abundance and distribution of the different floral groups identified by multivariate analysis are linked to the different environmental regimes, although the relationships are different for small and large species due to the interaction between factors important for phytoplankton growth (e.g., light, nutrients, iron) and mortality (e.g., grazing). (C) 2007 Elsevier Ltd. All rights reserved.</t>
  </si>
  <si>
    <t>Univ Southampton, Natl Oceanog Ctr, Southampton SO14 3ZH, Hants, England; Univ Essex, Dept Biol Sci, Colchester CO4 3SQ, Essex, England; British Antarctic Survey, Cambridge CB3 0ET, England; Univ Cape Town, Dept Zool, ZA-7701 Cape Town, South Africa</t>
  </si>
  <si>
    <t>NERC National Oceanography Centre; University of Southampton; University of Essex; UK Research &amp; Innovation (UKRI); Natural Environment Research Council (NERC); NERC British Antarctic Survey; University of Cape Town</t>
  </si>
  <si>
    <t>Poulton, AJ (corresponding author), Univ Southampton, Natl Oceanog Ctr, Southampton SO14 3ZH, Hants, England.</t>
  </si>
  <si>
    <t>aljp@noc.soton.ac.uk</t>
  </si>
  <si>
    <t>Fielding, Sophie/E-5137-2012; Poulton, Alex/A-9859-2012</t>
  </si>
  <si>
    <t>Seeyave, Sophie/0000-0002-4583-2869; Poulton, Alex/0000-0002-5149-6961; Moore, Mark/0000-0002-9541-6046</t>
  </si>
  <si>
    <t>NERC [bas010017, soc010008, NE/C518114/2] Funding Source: UKRI; Natural Environment Research Council [soc010008, bas010017, NE/C518114/2] Funding Source: researchfish</t>
  </si>
  <si>
    <t>10.1016/j.dsr2.2007.06.005</t>
  </si>
  <si>
    <t>WOS:000251492300011</t>
  </si>
  <si>
    <t>Fielding, S; Ward, P; Pollard, RT; Seeyave, S; Read, JF; Hughes, JA; Smith, T; Castellani, C</t>
  </si>
  <si>
    <t>Fielding, Sophie; Ward, Peter; Pollard, Raymond T.; Seeyave, Sophie; Read, Jane F.; Hughes, J. Alan; Smith, Tania; Castellani, Claudia</t>
  </si>
  <si>
    <t>Community structure and grazing impact of mesozooplankton during late spring/early summer 2004/2005 in the vicinity of the Crozet Islands (Southern Ocean)</t>
  </si>
  <si>
    <t>Southern Ocean; zooplankton; abundance; community composition; Drepanopus pectinatus; HNLC</t>
  </si>
  <si>
    <t>DIEL VERTICAL MIGRATION; ATLANTIC SECTOR; AUSTRAL SUMMER; PHYTOPLANKTON BLOOM; NORTH-ATLANTIC; EGG-PRODUCTION; SCOTIA SEA; ZOOPLANKTON; COPEPODS; GEORGIA</t>
  </si>
  <si>
    <t>Net sampling within the vicinity of the Crozet archipelago, in the Indian Ocean sector of the Southern Ocean, was conducted during late spring/summer (November 2004-January 2005) to describe the composition, distribution and grazing impact of mesozooplankton, and to investigate their relationships with the prevailing oceanographic regime in the area. The mesozooplankton community was intimately linked with the large-scale physical circulation in the region. To the west and north of the Islands, the sub-Antarctic Front (SAF) presented a strong biogeographic boundary between subtropical and sub-Antarctic species. South and east of the SAF, the mesozooplankton community was dominated by Polar Frontal Zone (PFZ) copepod species. Cluster analysis of mesozooplankton abundance data identified two main communities in the PFZ, termed here Island and Oceanic. Island stations, representing the proposed iron-fertilised productive region north of the archipelago, contained an abundance (mean of 2269 ind m(-3)) of the neritic copepod Drepanopus pectinatus, whose presence indicated that the water had interacted with the Crozet Island shelf at some point. D. pectinatus was present in samples north of Crozet up to the SAF, confirming that water passing the Crozet Islands could be transported, throughout the region to the north. The Oceanic stations, south of the Islands and within the SAF, contained similar mesozooplankton abundances and biovolume to the Island stations suggesting little enhanced impact of the iron-fertilised phytoplankton bloom through the mesozooplankton food web. Copepod community grazing pressure, in both Island and Oceanic stations, during November and December was small ( &lt; 7% of chlorophyll-a standing stock per day, &lt; 35% primary production per day). By January, a phytoplankton bloom had developed at some of the Island stations (up to similar to 3000 mg C m(-2) d(-1)) and grazing pressure was &lt; 1% of chlorophyll-a standing stock per day. At the oceanic stations, primary productivity had reduced from similar to 460 to similar to 200 mg C m(-2) d(-1), typical values for high-nutrient low-chlorophyll (HNLC) waters, and the copepod community grazing pressure had increased to similar to 90% of daily primary productivity. This suggests that a combination of grazing and micronutrient availability controls phytoplankton biomass in HNLC waters to the south of Crozet, while grazing had little impact on the iron- fertilised bloom north of the Crozet Islands. The intense seasonal phytoplankton bloom around Crozet may therefore be exported to the sea floor rather than fuelling the higher trophic levels. (C) 2007 Elsevier Ltd. All rights reserved.</t>
  </si>
  <si>
    <t>British Antarctic Survey, Cambridge CB3 0ET, England; Natl Oceanog Ctr, Southampton SO14 3ZH, Hants, England; British Oceanog Data Ctr, Liverpool L3 5DA, Merseyside, England</t>
  </si>
  <si>
    <t>UK Research &amp; Innovation (UKRI); Natural Environment Research Council (NERC); NERC British Antarctic Survey; NERC National Oceanography Centre; NERC National Oceanography Centre</t>
  </si>
  <si>
    <t>Fielding, S (corresponding author), British Antarctic Survey, High Cross,Madingley Rd, Cambridge CB3 0ET, England.</t>
  </si>
  <si>
    <t>sof@bas.ac.uk</t>
  </si>
  <si>
    <t>Seas, Deep/J-9245-2014; Fielding, Sophie/E-5137-2012</t>
  </si>
  <si>
    <t>Seeyave, Sophie/0000-0002-4583-2869; castellani, claudia/0000-0002-2710-2360</t>
  </si>
  <si>
    <t>NERC [bas010017, soc010006, soc010008] Funding Source: UKRI; Natural Environment Research Council [soc010008, bas010017, NE/C507353/1, soc010006] Funding Source: researchfish</t>
  </si>
  <si>
    <t>10.1016/j.dsr2.2007.06.016</t>
  </si>
  <si>
    <t>WOS:000251492300012</t>
  </si>
  <si>
    <t>Zubkov, MV; Holland, RJ; Burkill, PH; Croudace, IW; Warwick, PE</t>
  </si>
  <si>
    <t>Zubkov, M. V.; Holland, R. J.; Burkill, P. H.; Croudace, I. W.; Warwick, P. E.</t>
  </si>
  <si>
    <t>Microbial abundance, activity and iron uptake in vicinity of the Crozet Isles in November 2004-January 2005</t>
  </si>
  <si>
    <t>ultraplankton; microbial bioassay; bacterioplankton production; iron tracer uptake; Southern Ocean; HNLC regions</t>
  </si>
  <si>
    <t>PLANKTONIC MARINE-BACTERIA; COMMUNITY STRUCTURE; FLOW-CYTOMETRY; NORTH-ATLANTIC; PROTEIN-SYNTHESIS; SURFACE WATERS; SOUTHERN-OCEAN; PHYTOPLANKTON; PICOPLANKTON; POPULATIONS</t>
  </si>
  <si>
    <t>Iron leached from volcanic islands was hypothesised to naturally fertilise the high-nutrient low-chlorophyll (HNLC) waters of the Antarctic Circum Polar Current and to cause recurrent phytoplankton blooms or high-chlorophyll (HQ areas in the wake of the Crozet Islands. As part of CROZEX, the effect of Fe-fertilisation on microbial community was examined by comparing microbial standing stocks and microbial turnover rates of dissolved organic molecules and iron in the HNLC and HC waters in the vicinity of the Crozet Isles. Bacterioplankton and ultraplanktonic algae were enumerated by flow cytometry. Microbial turnover and ambient concentrations of amino acids and glucose in surface waters were bioassayed using an isotopic dilution technique. Microbial uptake of iron was estimated using a carrier-free Fe-55 tracer approach. The data set generated did not reveal statistically significant seasonal changes above the observed high spatial variability in the studied area. Statistically significant higher biomass (1.5 times) of heterotrophic bacterioplankton (HB) as well as higher microbial turnover of organic molecules (10 times) were observed in the HC waters relative to the HNLC waters, while relative iron uptake was nearly eight times lower in the HC waters. However, the difference in HB standing stocks in the 100-200 m water layer between the two compared water types was statistically insignificant. Hence, the HC surface waters in austral summer showed higher microbial activity with decreased iron dependency relative to the HNLC waters of the Southern Ocean, in agreement with higher productivity of the waters to the north of the Crozet Islands. (C) 2007 Elsevier Ltd. All rights reserved.</t>
  </si>
  <si>
    <t>Natl Oceanog Ctr, Southampton SO14 3ZH, Hants, England; Sir Alister Hardy Fdn Ocean Sci, Plymouth PL1 2PB, Devon, England; Univ Plymouth, Inst Marine, Plymouth PL4 8AA, Devon, England</t>
  </si>
  <si>
    <t>NERC National Oceanography Centre; University of Plymouth</t>
  </si>
  <si>
    <t>Zubkov, MV (corresponding author), Natl Oceanog Ctr, European Way, Southampton SO14 3ZH, Hants, England.</t>
  </si>
  <si>
    <t>mvz@noc.soton.ac.uk</t>
  </si>
  <si>
    <t>Croudace, Ian W/N-7018-2013; Zubkov, Mikhail/AAW-9674-2020</t>
  </si>
  <si>
    <t>Croudace, Ian W/0000-0003-1547-5650; Zubkov, Mikhail/0000-0001-7723-6810; Warwick, Phillip/0000-0001-8774-5125</t>
  </si>
  <si>
    <t>Natural Environment Research Council [soc010008, soc010009, soc010012, SAH01001] Funding Source: researchfish; NERC [soc010009, soc010008, SAH01001, soc010012] Funding Source: UKRI</t>
  </si>
  <si>
    <t>10.1016/j.dsr2.2007.06.020</t>
  </si>
  <si>
    <t>WOS:000251492300013</t>
  </si>
  <si>
    <t>Lucas, M; Seeyave, S; Sanders, R; Moore, CM; Williamson, R; Stinchcombe, M</t>
  </si>
  <si>
    <t>Lucas, Mike; Seeyave, Sophie; Sanders, Richard; Moore, C. Mark; Williamson, Robert; Stinchcombe, Mark</t>
  </si>
  <si>
    <t>Nitrogen uptake responses to a naturally Fe-fertilised phytoplankton bloom during the 2004/2005 CROZEX study</t>
  </si>
  <si>
    <t>natural iron fertilisation; Southern Ocean; N-15 uptake; phytoplankton communities; Phaeocystis; carbon export</t>
  </si>
  <si>
    <t>POLAR FRONTAL ZONE; MARGINAL ICE-ZONE; SOUTHERN-OCEAN; COMMUNITY STRUCTURE; IRON FERTILIZATION; NITRATE UPTAKE; HIGH-NUTRIENT; MARINE-PHYTOPLANKTON; PRIMARY PRODUCTIVITY; UPTAKE REGIME</t>
  </si>
  <si>
    <t>Annual phytoplankton blooms are observed around most sub-Antarctic islands during austral spring and summer, but are absent in the surrounding high-nutrient low-chlorophyll (HNLC) ocean. The CROZEX study (2004/2005) tested the hypothesis that annual blooms occurring immediately north of the Crozet islands in the Polar Frontal Zone (PFZ) develop because of natural iron fertilisation, while to their south in HNLC waters, there is insufficient iron (Fe) to promote blooms. Size-fractionated nitrogen uptake (rho N) experiments using N-15-NO3-, NH4+ and urea addressed three major goals. Firstly, measurements of NO3- uptake (rho NO3- aimed to establish whether rho NO3- responds to natural Fe fertilisation. Secondly, we compared regional rho NO3- rates, hypothesising that in Fe-fertilised regions, rho NO3- should exceed that in HNLC regions. Thirdly, by using satellite imagery, we extrapolated rho NO3- measurements made during a declining bloom to reconstruct seasonal rho NO3- by the spring bloom. Finally, we estimated the 'new' Fe demand required to support rho NO3-, comparing this with estimated Fe fluxes. Diatoms and colonial Phaeocystis dominated phytoplankton communities north of the islands, while to the south, Phaeocystis was absent. Total rho N was elevated north of the islands (similar to 400 mu mol m(-2) d(-1)) relative to south of the islands (similar to 250 mu mol m(-2) d(-1)). Nitrate uptake showed a clear response to Fe fertilisation, exhibiting a strong north (similar to 198 mu mol m(-2) d(-1)) to south (similar to 74 mu mol m(-2) d(-1)) gradient, while neither rho NH4+ nor purea showed such significant latitudinal gradients. The N-S integrated f-ratio gradient was 0.47-0.28 while specific N uptake (V-NO3 d(-1)) rates were significantly higher in the Fe-fertilised region relative to those in the southern HNLC region. The potential for NH4+ inhibition of pN03- did not appear to be significant. High PON:chl-a ratios combined with relatively low C-14:N-15 uptake ratios suggested that most phytoplankton were relatively chlorotic and carbon stressed, with the exception of those growing actively within a cyclonic eddy where neither Fe nor light appeared to be limiting. Size-fractionated pN03- and f-ratios exhibited a complex response to NH4+ and Fe availability, with f-ratios in the &gt; 20-mu m fraction being low (similar to 0.3) in the HNLC region, but significantly higher (similar to 0.7) in a localised diatom-dominated bloom in the northern Fe-fertilised region. In contrast, f-ratios in the &lt; 2-mu m size class were similar everywhere (similar to 0.44), indicative of Fe-limitation for large-celled diatoms in the southern HNLC region. As a result of Fe-regulated rho NO3-, new production showed a N-S gradient of similar to 24 to similar to 15 mmol C m(-2) d(-1), very similar to carbon export determined from NO3- 'draw-down' and from Th-234 measurements. The estimated DFe demand required to support seasonal pN03- in the northern region, based on conservative cellular Fe:N quotas, required surface (to 100 m) pre spring-bloom DFe concentrations of similar to 0.75 nmol l(-1). Our results support the hypothesis that phytoplankton blooms north of the islands are stimulated by natural Fe fertilisation, with a direct impact on rho NO3-, particularly for larger cells, resulting in higher new production rates relative to those from the Fe-limited HNLC region south of the Crozet islands. (C) 2007 Elsevier Ltd. All rights reserved.</t>
  </si>
  <si>
    <t>Natl Oceanog Ctr, Southampton SO14 3ZH, Hants, England; Univ Cape Town, Dept Oceanog, ZA-7701 Rondebosch, South Africa; Univ Cape Town, Dept Zool, ZA-7701 Rondebosch, South Africa</t>
  </si>
  <si>
    <t>NERC National Oceanography Centre; University of Cape Town; University of Cape Town</t>
  </si>
  <si>
    <t>Lucas, M (corresponding author), Natl Oceanog Ctr, Southampton SO14 3ZH, Hants, England.</t>
  </si>
  <si>
    <t>mluc@noc.soton.ac.uk</t>
  </si>
  <si>
    <t>Sanders, Richard J/B-8717-2012</t>
  </si>
  <si>
    <t>Sanders, Richard J/0000-0002-6884-7131; Moore, Mark/0000-0002-9541-6046; Williamson, Robert/0000-0002-7288-1762; Seeyave, Sophie/0000-0002-4583-2869</t>
  </si>
  <si>
    <t>NERC [soc010008, NE/C518114/2] Funding Source: UKRI; Natural Environment Research Council [soc010008, NE/C518114/2] Funding Source: researchfish</t>
  </si>
  <si>
    <t>10.1016/j.dsr2.2007.06.017</t>
  </si>
  <si>
    <t>WOS:000251492300014</t>
  </si>
  <si>
    <t>Sanders, R; Morris, PJ; Stinchcombe, M; Seeyave, S; Venables, H; Lucas, M</t>
  </si>
  <si>
    <t>Sanders, Richard; Morris, Paul J.; Stinchcombe, Mark; Seeyave, Sophie; Venables, Hugh; Lucas, Michael</t>
  </si>
  <si>
    <t>New production and the f ratio around the Crozet Plateau in austral summer 2004-2005 diagnosed from seasonal changes in inorganic nutrient levels</t>
  </si>
  <si>
    <t>CROZEX; Southern Ocean; new production; export production; nitrate; chlorophyll</t>
  </si>
  <si>
    <t>ANTARCTIC CIRCUMPOLAR CURRENT; SOUTHERN-OCEAN; NORTH-ATLANTIC; KERGUELEN-ISLANDS; EXPORT PRODUCTION; ORGANIC-CARBON; WATER COLUMN; IRON; SECTOR; GEORGIA</t>
  </si>
  <si>
    <t>Recent mesoscale iron-fertilisation experiments suggest that iron may be an important micronutrient in HNLC regions but estimates of carbon export from such experiments are inconclusive. An alternative strategy to estimate export from such environments is to observe naturally productive ecosystems associated with topography. One such system is the Crozet islands and associated plateau (Crozet), at 46 degrees S, 52 degrees E. Each year a large bloom of phytoplankton occurs to the north of Crozet with a reduced bloom occurring to the south. We use nitrate data from the Crozet region collected during austral summer 2004-2005 to estimate new production (NP) via the Redfield ratio. Peak integrated values of up to 50 g C m(-2) to the north of the plateau and up to 15 g C m(-2) to the south are inferred. We estimate total integrated primary production (TP) using satellite techniques and calculate f for each station. Overall NP is linearly related to TP. However, f declines at very high levels of TP because nitrate usage ceases despite continuing PP and because nitrate levels increased from their postbloom low. This results either from a resupply of nitrate from beneath the thermocline due to mixing processes or to the mixed-layer ammonification and nitrification of accumulated organic nitrogen. We discount the first possibility because our estimates of the mixing flux of nitrate appear to be inadequate to cause the entire recovery in nitrate levels, and because any mixing flux of nitrate would likely be accompanied by a resupply of iron, which would induce NP to occur and erode the resupply of nitrate. Instead we consider the recycling of accumulated organic nitrogen to be a more likely explanation based on our observation of high organic nitrogen levels in the mixed layer north of Crozet during the cruise. The implications of this conclusion are that euphotic zone nitrification is a significant process, and that in this system new and export production are not equivalent. This recycling is sufficiently large that it reduces our estimate of NP north of the plateau to a level where it is equivalent to NP in the south. Whether a similar refertilisation of the mixed layer occurred in the south of the study region, which would be consistent with a meridional gradient in carbon export, is unknown due to the limited duration of the shipboard programme. (C) 2007 Elsevier Ltd. All rights reserved.</t>
  </si>
  <si>
    <t>Natl Oceanog Ctr, Southampton SO14 3ZH, Hants, England; Univ Cape Town, Dept Zool, ZA-7701 Rondebosch, South Africa</t>
  </si>
  <si>
    <t>NERC National Oceanography Centre; University of Cape Town</t>
  </si>
  <si>
    <t>Sanders, R (corresponding author), Natl Oceanog Ctr, Southampton SO14 3ZH, Hants, England.</t>
  </si>
  <si>
    <t>rics@noc.soton.ac.uk</t>
  </si>
  <si>
    <t>Sanders, Richard J/0000-0002-6884-7131; Seeyave, Sophie/0000-0002-4583-2869</t>
  </si>
  <si>
    <t>10.1016/j.dsr2.2007.06.007</t>
  </si>
  <si>
    <t>WOS:000251492300016</t>
  </si>
  <si>
    <t>Morris, PJ; Sanders, R; Turnewitsch, R; Thomalla, S</t>
  </si>
  <si>
    <t>Morris, Paul J.; Sanders, Richard; Turnewitsch, Robert; Thomalla, Sandy</t>
  </si>
  <si>
    <t>234Th-derived particulate organic carbon export from an island-induced phytoplankton bloom in the Southern Ocean</t>
  </si>
  <si>
    <t>CROZEX; Crozet; Southern Ocean; Th-234; carbon export; POC</t>
  </si>
  <si>
    <t>EQUATORIAL ATLANTIC-OCEAN; IRON FERTILIZATION; ATMOSPHERIC CO2; WATER COLUMN; KERGUELEN-ISLANDS; THORIUM ISOTOPES; AQUATIC SYSTEMS; PACIFIC-OCEAN; FRONTAL ZONE; TH-234</t>
  </si>
  <si>
    <t>It has long been recognised that some oceanic regions have persistently low-chlorophyll levels, even though there are abundant inorganic nutrients. Studies have shown that these high-nutrient low-chlorophyll (HNLC) areas are depleted in iron, an essential micronutrient. In these regions biological production can be enhanced with artificial mesoscale iron fertilisation. However, the ability of iron-induced blooms to efficiently sequester carbon to mesopelagic depths is still an open question. It is hypothesised that sub-Antarctic islands in the HNLC Southern Ocean are also a source of iron and thus fuel the natural phytoplankton blooms observed in their proximity, thereby enhancing levels of particulate organic carbon (POC) export. To test the third part of this hypothesis, POC export was measured in the Southern Ocean region of the Crozet Islands (52 degrees E, 46 degrees S) during the austral summer of 2004/2005 as part of the CROZEX project. Based on satellite imagery, a high-chlorophyll region (maximum concentration = 4 mu g l(-1)) north and downstream of the islands was distinguished from a low-chlorophyll region (typical concentration = 0.3 mu g l(-1)) south and upstream of the islands. POC export estimates were obtained by using the naturally occurring particle-reactive radionuclide tracer Th-234. POC export was initially 15 mmol C m(-2) d(-1) in the high-chlorophyll bloom region, compared with 5 mmol C m(-2) d(-1) in the low-chlorophyll, non-bloom region. After a moderately small bloom at the southern control stations (max concentration = 0.7 mu g l(-1)) the spatial variability in POC export was lost, resulting in equally high levels of POC export (ca. 20 mmol C m(-2) d(-1)) throughout the study region. Comparison of Th-234-derived POC export with estimates of new production, calculated from nitrate budgets, revealed evidence for a decoupling of new and export production, with this effect most apparent within the northern bloom area. In addition to methodological issues this apparent decoupling of new and export production could be due to a buildup of dissolved organic nitrogen within the bloom region, thus reducing the amount of POC available for export to mesopelagic depths. (C) 2007 Elsevier Ltd. All rights reserved.</t>
  </si>
  <si>
    <t>Univ Southampton, Natl Oceanog Ctr, Southampton SO14 3ZH, Hants, England; Univ Cape Town, Dept Oceanog, ZA-7701 Cape Town, South Africa</t>
  </si>
  <si>
    <t>University of Southampton; NERC National Oceanography Centre; University of Cape Town</t>
  </si>
  <si>
    <t>Morris, PJ (corresponding author), Univ Southampton, Natl Oceanog Ctr, European Way, Southampton SO14 3ZH, Hants, England.</t>
  </si>
  <si>
    <t>pjmorris@noc.soton.ac.uk</t>
  </si>
  <si>
    <t>Sanders, Richard J/B-8717-2012; Thomalla, Sandy/AAS-4133-2021</t>
  </si>
  <si>
    <t>Sanders, Richard J/0000-0002-6884-7131;</t>
  </si>
  <si>
    <t>10.1016/j.dsr2.2007.06.002</t>
  </si>
  <si>
    <t>WOS:000251492300017</t>
  </si>
  <si>
    <t>Barker, PF; Diekmann, B; Escutia, C</t>
  </si>
  <si>
    <t>Barker, Peter F.; Diekmann, Bernhard; Escutia, Carlota</t>
  </si>
  <si>
    <t>Onset of Cenozoic Antarctic glaciation</t>
  </si>
  <si>
    <t>Synthesis Workshop on Paleoceanography and Paleoclimatology of the Southern Ocean</t>
  </si>
  <si>
    <t>JAN, 2005</t>
  </si>
  <si>
    <t>Univ Colorado, Boulder, CO</t>
  </si>
  <si>
    <t>Univ Colorado</t>
  </si>
  <si>
    <t>Antarctic; glacial onset; palaeoclimate</t>
  </si>
  <si>
    <t>MARIE-BYRD-LAND; KING-GEORGE-ISLAND; ICE-SHEET; SOUTHERN-OCEAN; MIDDLE EOCENE; WEST ANTARCTICA; ROSS SEA; HISTORY; OLIGOCENE; CLIMATE</t>
  </si>
  <si>
    <t>This paper considers the wide range of evidence, both direct and indirect, for the onset of Cenozoic Antarctic glaciation. It distinguishes two useful phases of Antarctic glacial onset: an initial phase of mountain glaciation, from which ice streams occasionally and in isolated locations reached sea level, and a subsequent phase of full glaciation, with an ice sheet as large as today's, extending everywhere to sea level. According to direct evidence, generally proximal, from the continent itself or surrounding Southern Ocean, the first of these occurred probably during the late Eocene, while the second developed at the Eocene-Oligocene boundary. Indirect evidence, mainly involving proxy measurements from DSDP and ODP sites remote from the Southern Ocean, suggests that middle and late Eocene glaciations may have been full also (ice sheets possibly even larger than today's) but short-lived, and that the E/O boundary onset differed from these mainly in producing a stable ice sheet. In pursuing the notion of glacial onset, we examined the direct record separately for East Antarctica, West Antarctica, and the Antarctic Peninsula, the different sub-ice topography and geographic positions of which suggest that their glacial histories could have been different. The direct record for an initial, middle or late Eocene phase is very sparse: only the rare occurrence of IRD at Southern Ocean DSDP and ODP sites suggests the possibility of early ice, and all three regions include mountains that could have hosted such ice. Although the indirect record and climate modelling in combination suggest that full glaciation of each region was probably synchronous, we find differences in the available direct evidence. There is abundant evidence that East Antarctica became fully glaciated in the earliest Oligocene, but certain evidence of glaciation of a similar age extending to sea level is sparse for the Antarctic Peninsula, and is not found until the late Oligocene for West Antarctica. High-resolution direct evidence is required to resolve uncertainties in glacial history. (C) 2007 Elsevier Ltd. All rights reserved.</t>
  </si>
  <si>
    <t>[Barker, Peter F.] Threshers Barn, Whitcott Keysett, Clun SY7 8QE, Shrops, England; [Diekmann, Bernhard] Alfred Wegener Inst Polar &amp; Marine Res, Res Unit Potsdam, D-14473 Potsdam, Germany; [Escutia, Carlota] Univ Granada, CSIC, IACT, Granada 18002, Spain</t>
  </si>
  <si>
    <t>Helmholtz Association; Alfred Wegener Institute, Helmholtz Centre for Polar &amp; Marine Research; Consejo Superior de Investigaciones Cientificas (CSIC); CSIC - Instituto Andaluz de Ciencias de la Tierra (IACT); University of Granada</t>
  </si>
  <si>
    <t>Barker, PF (corresponding author), Threshers Barn, Whitcott Keysett, Clun SY7 8QE, Shrops, England.</t>
  </si>
  <si>
    <t>pfbarker@tiscali.co.uk</t>
  </si>
  <si>
    <t>; Escutia, Carlota/B-8614-2015</t>
  </si>
  <si>
    <t>Diekmann, Bernhard/0000-0001-5129-3649; Escutia, Carlota/0000-0002-4932-8619</t>
  </si>
  <si>
    <t>21-22</t>
  </si>
  <si>
    <t>10.1016/j.dsr2.2007.07.027</t>
  </si>
  <si>
    <t>246PG</t>
  </si>
  <si>
    <t>WOS:000252018600002</t>
  </si>
  <si>
    <t>Shevenell, AE; Kennett, JP</t>
  </si>
  <si>
    <t>Shevenell, Amelia E.; Kennett, James P.</t>
  </si>
  <si>
    <t>Cenozoic Antarctic cryosphere evolution: Tales from deep-sea sedimentary records</t>
  </si>
  <si>
    <t>Antarctica; Cenozoic; paleoceanography</t>
  </si>
  <si>
    <t>ATMOSPHERIC CARBON-DIOXIDE; ICE-SHEET; CALCITE COMPENSATION; CLIMATE; OCEAN; GLACIATION; OSCILLATIONS; MAGNESIUM; DELTA-O-18; ISOTOPES</t>
  </si>
  <si>
    <t>Antarctica and the Southern Ocean system evolved in the Cenozoic, but the details of this complex evolution are just beginning to emerge via high-resolution investigations of globally distributed marine sedimentary sequences. Here we review the recent progress in defining the orbital-scale evolution of the Antarctic/Southern Ocean system, with particular attention paid to new high-resolution multi-proxy records generated across intervals of abrupt Antarctic ice growth in the Paleogene and early Neogene. This more detailed perspective has allowed researchers to assess the processes and feedbacks involved in the Cenozoic evolution of the Antarctic cryosphere, absent potential complication of the paleoceanographic record by a substantial Northern Hemisphere ice volume signal. In this paper, we review the new tools being used to examine these high-resolution records, assess lead-lag relationships between ice volume, temperature, and carbon cycling during intervals of abrupt Antarctic ice growth, and consider the resulting implications for the global climate system. (C) 2007 Elsevier Ltd. All rights reserved.</t>
  </si>
  <si>
    <t>[Shevenell, Amelia E.] Univ Washington, Sch Oceanog, Seattle, WA 98195 USA; [Kennett, James P.] Univ Calif Santa Barbara, Dept Earth Sci, Santa Barbara, CA 93106 USA</t>
  </si>
  <si>
    <t>University of Washington; University of Washington Seattle; University of California System; University of California Santa Barbara</t>
  </si>
  <si>
    <t>Shevenell, AE (corresponding author), Univ Washington, Sch Oceanog, Seattle, WA 98195 USA.</t>
  </si>
  <si>
    <t>ashevenell@ocean.washington.edu</t>
  </si>
  <si>
    <t>shevenell, Amelia/A-4161-2009; Shevenell, Amelia E/C-2757-2015</t>
  </si>
  <si>
    <t>10.1016/j.dsr2.2007.07.018</t>
  </si>
  <si>
    <t>WOS:000252018600003</t>
  </si>
  <si>
    <t>Olney, MP; Scherer, RP; Harwood, DM; Bohaty, SM</t>
  </si>
  <si>
    <t>Olney, Matthew P.; Scherer, Reed P.; Harwood, David M.; Bohaty, Steven M.</t>
  </si>
  <si>
    <t>Oligocene-early Miocene Antarctic nearshore diatom blostratigraphy</t>
  </si>
  <si>
    <t>Antarctic; Oligocene-early Miocene; diatom; nearshore; offshore; biostratigraphy</t>
  </si>
  <si>
    <t>GENERA DICLADIA EHRENBERG; SYNDENDRIUM EHRENBERG; BIOSTRATIGRAPHY; EOCENE; SEDIMENTS; TAXONOMY; SEA</t>
  </si>
  <si>
    <t>Lower Oligocene (ca. 31 Ma) to lower Miocene (ca. 18.5 Ma) biosiliceous microfossils recovered from the Cape Roberts Project (CRP-2/2A) drill cores provide both paleoenvironmental and biostratigraphic information, enhancing our understanding of the geological history of the Victoria Land Basin, Antarctica. The biochronostratigraphic record obtained provides key data with which tirne-space-facies models may be developed. Assemblages of neritic and pelagic microfossils such as those from the CRP-2/2A drill cores provide links between the primarily pelagic microfossil-derived chronostratigraphy of the Southern Ocean and the facies models of the neritic zone. The CRP-2/2A holes drilled in the Victoria Land Basin, Antarctica during 1998 [Barrett, P.J., et al. (Eds.), 2001. Studies from the Cape Roberts Project, Ross Sea, Antarctica, Scientific Results of CRP-2/2A, Parts I and II: Terra Antartica, vol. 7(4/5), 665pp] include several sections that contain well-preserved and relatively abundant biosiliceous microfossils. Scherer et al. [2001. Oligocene and Lower Miocene Siliceous Microfossil Biostratigraphy of Cape Roberts Project Core CRP-2/2A, Victoria Land Basin, Antarctica. In: Barrett, P.J., Ricci, C.A. (Eds.) Studies from the Cape Roberts Project, Ross Sea, Antarctica, Scientific Report of CRP-2/2A, Terra Antartica, vol. 7(4), pp. 417-442] produced a biostratigraphic zonal framework consisting of 10 biozones; two of the zonal boundaries were correlated with the magnetostratigraphically calibrated Southern Ocean diatom biozonation. Many of the taxa observed and utilized in the above framework could not be assigned categorically to existing taxa, leading to use of informal nomenclature. We present an updated biostratigraphy and zonation scheme based on the latest taxonomic concepts and on new quantitative and qualitative siliceous microfossil data from the CRP-2/2A drill core, including formal description Of four new diatom taxa used in the definition of Antarctic nearshore diatom zonal boundaries. New taxa formally proposed are Fragilariopsis truncata, Cymatosira palpebraforma, Rhizosolenia fidicularis, and Hemiaulus angustobrachiatus. (C) 2007 Elsevier Ltd. All rights reserved.</t>
  </si>
  <si>
    <t>[Olney, Matthew P.] Florida State Univ, Antarctic Marine Geol Res Facil, Tallahassee, FL 32306 USA; [Scherer, Reed P.] No Illinois Univ, Dept Geol &amp; Environm Geosci, De Kalb, IL 60115 USA; [Harwood, David M.] Univ Nebraska, Dept Geosci, Lincoln, NE 68588 USA; [Bohaty, Steven M.] Univ Southampton, Natl Oceanog Ctr, Southampton SO14 3ZH, Hants, England</t>
  </si>
  <si>
    <t>State University System of Florida; Florida State University; Northern Illinois University; University of Nebraska System; University of Nebraska Lincoln; University of Southampton; NERC National Oceanography Centre</t>
  </si>
  <si>
    <t>Olney, MP (corresponding author), Florida State Univ, Antarctic Marine Geol Res Facil, Tallahassee, FL 32306 USA.</t>
  </si>
  <si>
    <t>olney@gly.fsu.edu; reed@niu.edu; dharwood1@unl.edu; S.Bohaty@noc.soton.ac.uk</t>
  </si>
  <si>
    <t>10.1016/j.dsr2.2007.07.020</t>
  </si>
  <si>
    <t>WOS:000252018600004</t>
  </si>
  <si>
    <t>Diekmann, B</t>
  </si>
  <si>
    <t>Diekmann, Bernhard</t>
  </si>
  <si>
    <t>Sedimentary patterns in the late Quaternary Southern Ocean</t>
  </si>
  <si>
    <t>Southern Ocean; deep-water circulation; Circumpolar Opal Belt; terrigenous sediment; dust; ice-rafted debris</t>
  </si>
  <si>
    <t>MIDPLEISTOCENE CLIMATE TRANSITION; GLACIAL-INTERGLACIAL CHANGES; ANTARCTIC ICE-SHEET; SW PACIFIC-OCEAN; SURFACE SEDIMENTS; INDIAN-OCEAN; DEEP-SEA; TERRIGENOUS SEDIMENT; ATLANTIC SECTOR; BIOGENIC SILICA</t>
  </si>
  <si>
    <t>The spatial and temporal distribution of biogenic and lithogenic sediments in the late Quaternary Southern Ocean reflects the zonal character of the Antarctic Circumpolar Current and is basically controlled by glacial dynamics in Antarctica, sea-ice distribution, temperature gradients, wind patterns, and thermohaline ocean circulation. Carbonate patterns in most places reveal a decline in biogenic carbonate preservation during glacial periods, mainly attributed to a reduced influx of North Atlantic Deep Water and increased ocean stratification, which modified deep-water chemistry towards more corrosivity. An important lithological feature of the Southern Ocean is the Circumpolar Opal Belt, which today is situated between the Polar Front and the seasonal sea-ice limit to the south. During the glacial periods the opal belt shifted to the north in response to a wider sea-ice extension that reduced light availability and diatom productivity to the south. Biosiliceous productivity to the north likely was fueled by detrital iron supplied by aeolian dust input and/or hemipelagic processes. Lithogenic fluxes generally increased during the glacial periods. Provenance studies on the origin and dispersal of detrital materials suggest combined effects of low sea-level stands, increased glaciogenic input, and enhanced current transport to have caused elevated detrital fluxes. The relative and absolute contribution of aeolian dust is difficult to decipher and awaits further clarification by integrated provenance studies of both marine sediments and more reference materials from the potential terrestrial source areas. Ice-rafted debris (IRD) represents a minor fraction of lithogenic sediments, but can be used to infer both Antarctic ice-sheet dynamics and the fate of both sea-ice and iceberg survival in the distal Southern Ocean. Future work should be concentrated on a better identification of IRD origin in terms of volcaniclastic influences, the distinction of east and west Antarctic sediment sources, and sea-ice versus iceberg transportation. (C) 2007 Published by Elsevier Ltd.</t>
  </si>
  <si>
    <t>Alfred Wegener Inst Polar &amp; Marine Res, D-14473 Potsdam, Germany</t>
  </si>
  <si>
    <t>Helmholtz Association; Alfred Wegener Institute, Helmholtz Centre for Polar &amp; Marine Research</t>
  </si>
  <si>
    <t>Diekmann, B (corresponding author), Alfred Wegener Inst Polar &amp; Marine Res, Telegrafenberg A43, D-14473 Potsdam, Germany.</t>
  </si>
  <si>
    <t>Bernhard.Diekmann@awi.de</t>
  </si>
  <si>
    <t>Diekmann, Bernhard/0000-0001-5129-3649</t>
  </si>
  <si>
    <t>10.1016/j.dsr2.2007.07.025</t>
  </si>
  <si>
    <t>WOS:000252018600005</t>
  </si>
  <si>
    <t>Yoon, HI; Khim, BK; Yoo, KC; Bak, YS; Lee, JI</t>
  </si>
  <si>
    <t>Yoon, H. I.; Khim, B. K.; Yoo, K. -C.; Bak, Y. S.; Lee, J. I.</t>
  </si>
  <si>
    <t>Late glacial to Holocene climatic and oceanographic record of sediment facies from the South Scotia Sea off the northern Antarctic Peninsula</t>
  </si>
  <si>
    <t>South Scotia Sea; bottom current deposits; Holocene paleoclimate; deglaciation; LGM; diatom assemblage</t>
  </si>
  <si>
    <t>BOTTOM WATER PRODUCTION; FINE-GRAINED SEDIMENT; WEDDELL SEA; CIRCUMPOLAR CURRENT; DEEP-WATER; ICE SHELF; DIATOM DISTRIBUTION; CONTINENTAL-SHELF; PALMER-DEEP; LATE WINTER</t>
  </si>
  <si>
    <t>Two gravity cores were collected from the South Scotia Sea located off the northern Antarctic Peninsula during the 2002/2003 Korea Antarctic Research Program (KARP) expedition to determine the late Quaternary climatic and oceanographic history. Reassessment of previous sedimentological, geochemical and micropaleontological analyses combined with established age model of AMS C-14 dates represent the reliable record of late Pleistocene climatic/oceanographic change for the Scotia Sea region of Antarctica. During the Last Glacial Maximum (LGM), the South Scotia Sea received large amounts of sorted terrigenous sediments and some of the reworked diatom fossils emplaced by bottom currents from an extensively glaciated Weddell Sea continental margin. Drifting icebergs calved from the glacial fronts have dispersed glacial dropstones throughout the study area. The bottom current deposits during the glacial phase comprise two lithologic units: (1) bioturbated gravelly sandy mud (Facies 1), formed by sluggish bottom current caused by reduced dense-water production originated from the ice sheet on the Weddell Shelf, (2) indistinctly layered diatomaceous mud as shown by total organic carbon (TOC) highs in the Facies 1, deposited by sporadic bottom currents caused by intensified sea-ice formation in polynya during the glacial stage. The LGM is characterized by greater and longer sea-ice coverage and a restricted Weddell/Scotia summer communication, as evidenced by a relative decrease in percentage Thalssiosira antarctica and Chaetoceros resting spores, which are more abundant close to the Weddell Ice Shelf. Deglaciation (about 13,000-9000 C-14 yr BP) in the South Scotia Sea was characterized by increasing TOC, diatom abundance, and decreasing magnetic susceptibility and sand contents up core. At this time, subglacial meltwater streams began to emanate from the Weddell Ice Sheet with peak of ice rafting. Sediment-laden turbid plumes from melting glacier and deglaciated Weddell Shelf have probably been joined into the realm of contour currents, Weddell Gyre circulation, ultimately forming indistinctly laminated gravelly mud (Facies 2) in the South Scotia Sea. These currents probably resulted from water exchange between the Weddell Ice Shelf and Circumpolar Warm Deep Water during the retreating phase of the last glaciation. The deglaciation was probably followed by a period of open-marine conditions with variable extent of sea ice (variable TOC content). Between about 9000 and 3000 C-14 yr BP, bottom water production occasionally appears to have diminished or ceased due to the disintegration of some of the Weddell Ice Shelf, and biogenic input became increased forming bioturbated diatomaceous mud and ooze (Facies 3). The climatic amelioration Could have restored the Weddell/Scotia communication during the Summer, as evidenced by a relative increase of T. antarctica and C. resting spore in Facies 3. At the onset of Neoglacial (about 3000 C-14 yr BP), a decrease in TOC and diatom abundance, and an increase of sand content reflect the formation of more extensive and seasonally persistent multiyear sea ice. The Weddell Ice Shelf advanced with increased sea-ice coverage at this time, and as a result, bottom water might play a role in transporting terrigenous sediments and reworked fossil diatoms into the South Scotia Sea, forming diatomaceous sandy mud (Facies 4). During this time, it is possible that the Weddell/Scotia communication would have been partly restricted, as evidenced by a reduction of the numbers of T. ntarctica and C. resting spores. Our results indicate environmental variability throughout the late Quaternary that was consistent across most portions of the maritime Antarctic Peninsula. In addition, the timing of climatic transitions correlates with the Northern Hemisphere, indicating the possibility of coherent climatic variability during the late Quaternary, at least for the higher latitudes. (C) 2007 Elsevier Ltd. All rights reserved.</t>
  </si>
  <si>
    <t>[Yoon, H. I.; Yoo, K. -C.; Lee, J. I.] Korea Ocean Res &amp; Dev Inst, Korea Polar Res Inst, Inchon 406840, South Korea; [Khim, B. K.] Pusan Natl Univ, Div Earth Environm Syst, Pusan 609735, South Korea; [Bak, Y. S.] Chonbuk Natl Univ, Dept Earth &amp; Environm Sci, Jeonju 561756, South Korea</t>
  </si>
  <si>
    <t>Korea Institute of Ocean Science &amp; Technology (KIOST); Korea Polar Research Institute (KOPRI); Pusan National University; Jeonbuk National University</t>
  </si>
  <si>
    <t>Yoon, HI (corresponding author), Korea Ocean Res &amp; Dev Inst, Korea Polar Res Inst, Songdo Technopk,7-50 Songdo Dong, Inchon 406840, South Korea.</t>
  </si>
  <si>
    <t>hiyoon@kopri.re.kr</t>
  </si>
  <si>
    <t>Yoo, Kyu-Cheul/0000-0002-6186-7535</t>
  </si>
  <si>
    <t>10.1016/j.dsr2.2007.07.019</t>
  </si>
  <si>
    <t>Conference Proceedings Citation Index - Science (CPCI-S); Science Citation Index Expanded (SCI-EXPANDED)</t>
  </si>
  <si>
    <t>WOS:000252018600006</t>
  </si>
  <si>
    <t>Barker, PF; Filippelli, GM; Florindo, F; Martin, EE; Scher, HD</t>
  </si>
  <si>
    <t>Barker, Peter F.; Filippelli, Gabriel M.; Florindo, Fabio; Martin, Ellen E.; Scher, Howard D.</t>
  </si>
  <si>
    <t>Onset and role of the Antarctic Circumpolar Current</t>
  </si>
  <si>
    <t>Antarctic Circumpolar Current; palaeoclimate; Drake Passage</t>
  </si>
  <si>
    <t>SOUTHERN-OCEAN; EOCENE-OLIGOCENE; DRAKE PASSAGE; MAUD RISE; GLACIATION; EVOLUTION; HISTORY; MIOCENE; ATLANTIC; SEA</t>
  </si>
  <si>
    <t>For some time, onset of the Antarctic Circumpolar Current (ACC) was considered to have caused or stabilised full Antarctic glaciation. Recently, however, the importance of the ACC in this role has been questioned. In order to understand the relationship between the ACC and Antarctic glaciation, and thence the importance of ocean circulation to palaeoclimate, we need to determine the development history of both processes. To this end, we summarise all published estimates of ACC onset. The time of onset, of shallow circulation or deep, is uncertain, whether based on tectonic studies or the interpretation of changes in the sediment record. Two potential final barriers to circumpolar flow have been identified; south of Tasmania and south of South America. The former is well constrained by tectonics and marine geology to before 32 Ma for a deep gap, with a shallow gap in place by 35.5 Ma at the latest. These ages fit nicely with the onset of full Antarctic glaciation at 33-34 Ma, although some workers question the causality. Estimates of the time of opening of the latter range widely, whether based on tectonics or sedimentary geology, from as recently as 6 Ma to as early as 41 Ma, with the gap depth uncertain also. Resolution of the tectonics-based uncertainties by additional survey being most probably both time-consuming and inconclusive, and the geological estimates being open to alternative interpretations, we define an optimal strategy for additional sampling and measurement, designed to resolve the time of onset more certainly, possibly also resolving between deep and shallow opening, and thereby constraining the ACC role. Sample sites would have to be close to likely final barriers, to avoid extraneous influence, and within modern zones of ACC influence, ideally would form a depth transect, and would have continuous, mixed terrigenous and biogenic sections. A wide range of carefully selected parameters would be measured at each. (C) 2007 Elsevier Ltd. All rights reserved.</t>
  </si>
  <si>
    <t>[Barker, Peter F.] Threshers Barn, Whitcott Keysett, Clun SY7 8QE, Shrops, England; [Filippelli, Gabriel M.] Indiana Univ Purdue Univ, Dept Earth Sci, Indianapolis, IN 46202 USA; [Florindo, Fabio] Ist Nazl Geofis &amp; vulcannol, I-00143 Rome, Italy; [Martin, Ellen E.] Univ Florida, Dept Geol Sci, Gainesville, FL 32611 USA; [Scher, Howard D.] Univ Rochester, Dept Earth &amp; Environm Sci, Rochester, NY 14611 USA</t>
  </si>
  <si>
    <t>Indiana University System; Indiana University-Purdue University Indianapolis; State University System of Florida; University of Florida; University of Rochester</t>
  </si>
  <si>
    <t>Scher, Howie/C-4927-2013; Filippelli, Gabriel/R-6009-2019; Florindo, Fabio/F-4119-2010; Florindo, Fabio/M-1459-2019; Florindo, Fabio/AAU-2548-2021</t>
  </si>
  <si>
    <t>Filippelli, Gabriel/0000-0003-3434-5982; Florindo, Fabio/0000-0002-6058-9748; Florindo, Fabio/0000-0002-6058-9748;</t>
  </si>
  <si>
    <t>10.1016/j.dsr2.2007.07.028</t>
  </si>
  <si>
    <t>WOS:000252018600007</t>
  </si>
  <si>
    <t>Berger, WH</t>
  </si>
  <si>
    <t>Berger, W. H.</t>
  </si>
  <si>
    <t>Cenozoic cooling, Antarctic nutrient pump, and the evolution of whales</t>
  </si>
  <si>
    <t>whale evolution; silica cycle; Antarctic sea; Drake Passage; Cenozoic cooling</t>
  </si>
  <si>
    <t>PLIOCENE BIOGENIC BLOOM; SOUTHERN-OCEAN; LATE MIOCENE; SOUTHWEST ATLANTIC; METHANE HYDRATE; CLIMATE-CHANGE; SILICON CYCLE; CARBON; GLACIATION; PACIFIC</t>
  </si>
  <si>
    <t>The evolution of large marine mammals and their invasion of the pelagic realm is tied to the availability of sufficient food, which in turn is linked to upwelling areas and other highly productive regions in the ocean, as has been recognized for some time. Here I propose that silicate-supported upwelling (which provides the shorter food chain and hence the higher yield for apex consumers) and deep mixing within the Southern Ocean are the crucial ingredients of the system providing the stage for the evolution of whales. The Circumpolar Current receives silicate from various Sources but especially from the North Atlantic Deep Water introduced in the Atlantic sector. The silicate is largely trapped in the Ring, some in the water, and some in the sediment, and is made available to shallower waters by unusually deep mixing. From these shallower depths silica-rich waters can enter the thermocline all through the southern hemisphere, stimulating diatom growth in upwelling systems to the equator and beyond. From the link diatoms-krill-whales and diatoms-krill-small fishes, it is readily apparent that the link between the climate narrative and the narrative of whale evolution (both for mysticetes and odontocetes) is the silica cycle. Studying it will generate hypotheses about whale evolution that can be tested using fossils. (C) 2007 Elsevier Ltd. All rights reserved.</t>
  </si>
  <si>
    <t>Univ Calif San Diego, Scripps Inst Oceanog, La Jolla, CA 92093 USA</t>
  </si>
  <si>
    <t>University of California System; University of California San Diego; Scripps Institution of Oceanography</t>
  </si>
  <si>
    <t>Berger, WH (corresponding author), Univ Calif San Diego, Scripps Inst Oceanog, La Jolla, CA 92093 USA.</t>
  </si>
  <si>
    <t>wberger@ucsd.edu</t>
  </si>
  <si>
    <t>10.1016/j.dsr2.2007.07.024</t>
  </si>
  <si>
    <t>WOS:000252018600008</t>
  </si>
  <si>
    <t>Latimer, JC; Filippelli, GM</t>
  </si>
  <si>
    <t>Latimer, Jennifer C.; Filippelli, Gabriel M.</t>
  </si>
  <si>
    <t>Sedimentary iron records from the Cape Basin</t>
  </si>
  <si>
    <t>LAST GLACIAL MAXIMUM; EQUATORIAL PACIFIC-OCEAN; ART. NO. 1025; SOUTHERN-OCEAN; ATMOSPHERIC CO2; ATLANTIC-OCEAN; TERRIGENOUS SEDIMENT; PHYTOPLANKTON BLOOM; LATE QUATERNARY; ANTARCTIC ICE</t>
  </si>
  <si>
    <t>The Iron Hypothesis suggests that dust-derived Fe delivered to the Southern Ocean during glacial intervals fueled primary productivity and led to CO2 drawdown. Clear support for a dustier glacial atmosphere comes from ice-core records of dust concentrations. Furthermore, there is unequivocal proof from open-ocean Fe fertilization experiments that primary productivity in the modern-day Southern Ocean is limited by Fe. However, substantial hemipelagic detrital sources dilute and obscure the eolian signal. Here we present records of Fe concentrations (total and reducible) and Fe fluxes to highlight the importance of hemipelagic Fe sources to the Cape Basin. We illustrate that on average only 7% of the Fe flux to Site 1089 can be accounted for by particle settling, indicating that redistribution by bottom currents accounts for an order of magnitude more Fe than particulate scavenging processes, distribution by surface currents, or eolian deposition. We also find that on average only 7% of the Fe content is easily reducible. Furthermore, we speculate that a significant source of dissolved Fe to the bottom waters may come from re-suspended bottom sediments. (C) 2007 Elsevier Ltd. All rights reserved.</t>
  </si>
  <si>
    <t>[Latimer, Jennifer C.] Indiana State Univ, Dept Geog Geol &amp; Anthropol, Terre Haute, IN 47809 USA; [Filippelli, Gabriel M.] Indiana Univ Purdue Univ, Dept Earth Sci, Indianapolis, IN 46202 USA</t>
  </si>
  <si>
    <t>Indiana State University; Indiana University System; Indiana University-Purdue University Indianapolis</t>
  </si>
  <si>
    <t>Latimer, JC (corresponding author), Indiana State Univ, Dept Geog Geol &amp; Anthropol, 159 Sci Bldg,Terre Haute, Terre Haute, IN 47809 USA.</t>
  </si>
  <si>
    <t>jlatimer@indstate.edu</t>
  </si>
  <si>
    <t>Filippelli, Gabriel/R-6009-2019</t>
  </si>
  <si>
    <t>Filippelli, Gabriel/0000-0003-3434-5982</t>
  </si>
  <si>
    <t>10.1016/j.dsr2.2007.07.022</t>
  </si>
  <si>
    <t>WOS:000252018600009</t>
  </si>
  <si>
    <t>Flores, JA; Sierro, FJ</t>
  </si>
  <si>
    <t>Flores, Jose-Abel; Sierro, Francisco Javier</t>
  </si>
  <si>
    <t>Pronounced mid-Pleistocene southward shift of the Polar Front in the Atlantic sector of the Southern Ocean</t>
  </si>
  <si>
    <t>Southern Ocean; Atlantic sector; Pleistocene; paleoceanography; micropaleontology; coccolithophores</t>
  </si>
  <si>
    <t>SEA-SURFACE TEMPERATURE; NORTH-ATLANTIC; COCCOLITHOPHORE ASSEMBLAGES; PLEISTOCENE COLLAPSE; NANNOFOSSIL EVENTS; LAST DEGLACIATION; ODP LEG-177; ISOTOPE; CALIBRATION; WATER</t>
  </si>
  <si>
    <t>Ocean Drilling Program (ODP) Site 1094, situated in the Atlantic sector of the Antarctic region below the Polar Front (PF), is dominated by silica-rich sediments during the Pleistocene, but does contain occasional calcium carbonate-rich intervals. The analysis of the coccolithophore assemblages of one of these intervals in the mid-Pleistocene allows us to interpret a prominent southward displacement of the PF. An age model constructed using paleomagnetic and biostratigraphic information places this event around 1 Ma (close to the Jaramillo subchron) in an interval of strong eccentricity and high amplitude in the insolation record. We distinguish five intervals based on coccolithophore assemblage and abundances. According to the age model used, this calcium carbonate-rich period should include Marine Isotope Stage 31, the most significant interglacial period recorded at this time; however, this model cannot decipher if adjacent isotope stages are partially represented. Interval V (the oldest) is interpreted as an episode with progressive abundance of coccolithophores with a characteristic assemblage from the Polar Front Zone (PFZ) but with dominance of siliceous micro-organisms. Interval IV contains the maximum abundance of coccolithophores with an assemblage characteristic of the Subantarctic Zone (SAZ), with peaks in abundance of Calcidiscus leptoporus, Coccolithus pelagicus, Helicosphaera carteri and Syracosphaera spp. related with the proximity of the Subantarctic Front (SAF). The southward displacement of the frontal system, linked to an increase in sea-surface temperature produced increases in diversity and in productivity. Conversely, we consider that the presence of some coccolithophore taxa, linked in other environments with anomalies in salinity, could reflect a pulse in the melting of West Antarctic Ice Sheet, as suggested previously for this interval. Interval III is characterized by a PFZ assemblage reflecting again a northward shift of the PF. Interval II is considered in this context as another southward pulse, but less important than Interval IV and with the absence of SAF and/or melting-related taxa. Interval I is considered a transition from a situation similar to the present-day PFZ to the Antarctic Zone conditions as consequence of a northward displacement of PF and Weddell Gyre/Antarctic Circumpolar Current boundary. (C) 2007 Elsevier Ltd. All rights reserved.</t>
  </si>
  <si>
    <t>[Flores, Jose-Abel; Sierro, Francisco Javier] Univ Salamanca, Dept Geol, E-37008 Salamanca, Spain</t>
  </si>
  <si>
    <t>University of Salamanca</t>
  </si>
  <si>
    <t>Flores, JA (corresponding author), Univ Salamanca, Dept Geol, E-37008 Salamanca, Spain.</t>
  </si>
  <si>
    <t>flores@usal.es</t>
  </si>
  <si>
    <t>Flores, José-Abel/D-4218-2009; Sierro, Francisco/A-4714-2008</t>
  </si>
  <si>
    <t>Flores, José-Abel/0000-0003-1909-293X; Sierro, Francisco/0000-0002-8647-456X</t>
  </si>
  <si>
    <t>10.1016/j.dsr2.2007.07.026</t>
  </si>
  <si>
    <t>WOS:000252018600010</t>
  </si>
  <si>
    <t>Chen, LQ; Gao, ZY</t>
  </si>
  <si>
    <t>Liqi Chen; Zhongyong Gao</t>
  </si>
  <si>
    <t>Spatial variability in the partial pressures of CO2 in the northern Bering and Chukchi seas</t>
  </si>
  <si>
    <t>GLOBEC Symposium on Effects of Climate Variability on Sub-Arctic Marine Ecosystems</t>
  </si>
  <si>
    <t>MAY 16-20, 2005</t>
  </si>
  <si>
    <t>Victoria, CANADA</t>
  </si>
  <si>
    <t>CO2; ecosystem; global change; Bering Sea; Chukchi Sea; chlorophyll</t>
  </si>
  <si>
    <t>INORGANIC CARBON SYSTEM; SUB-ARCTIC PACIFIC; ATMOSPHERIC CO2; SOUTHERN-OCEAN; PHYTOPLANKTON; MODEL; SHELF; IRON; CIRCULATION; SENSITIVITY</t>
  </si>
  <si>
    <t>In the summers of 1999 and 2003, the 1st and 2nd Chinese National Arctic Research Expeditions measured the partial pressure of CO2 in the air and surface waters (pCO(2)) of the Bering Sea and the western Arctic Ocean. The lowest pCO(2) values were found in continental shelf waters, increased values over the Bering Sea shelf slope, and the highest values in the waters of the Bering Abyssal Plain (BAP) and the Canadian Basin. These differences arise from a combination of various source waters, biological uptake, and seasonal warming. The Chukchi Sea was found to be a carbon dioxide sink, a result of the increased open water due to rapid sea-ice melting, high primary production over the shelf and in marginal ice zones (MIZ), and transport of low pCO(2) waters from the Bering Sea. As a consequence of differences in inflow water masses, relatively low pCO(2) concentrations occurred in the Anadyr waters that dominate the western Bering Strait, and relatively high values in the waters of the Alaskan Coastal Current (ACC) in the eastern strait. The generally lower pCO(2) values found in mid-August compared to at the end of July in the Bering Strait region (66-69 degrees N) are attributed to the presence of phytoplankton blooms. In August, higher pCO(2) than in July between 68.5 and 69 degrees N along 169 degrees W was associated with higher sea-surface temperatures (SST), possibly as an influence of the ACC. In August in the MIZ, pCO(2) was observed to increase along with the temperature, indicating that SST plays an important role when the pack ice melts and recedes. (C) 2007 Elsevier Ltd. All rights reserved.</t>
  </si>
  <si>
    <t>[Liqi Chen; Zhongyong Gao] State Ocean Adm SOA, Key Lab Global Change &amp; MArine Atmospher Chem, Xiamen 361005, Peoples R China; [Liqi Chen; Zhongyong Gao] 3 Inst Oceanog, Xiamen 361005, Peoples R China; [Liqi Chen] Chinese Arctic &amp; Antarctic Adm, Beijing 100860, Peoples R China; [Zhongyong Gao] Key Lab Polar Sci SOA, Shanghai 200136, Peoples R China</t>
  </si>
  <si>
    <t>Third Institute of Oceanography, Ministry of Natural Resources</t>
  </si>
  <si>
    <t>Chen, LQ (corresponding author), State Ocean Adm SOA, Key Lab Global Change &amp; MArine Atmospher Chem, Xiamen 361005, Peoples R China.</t>
  </si>
  <si>
    <t>Lqchen@soa.gov.cn</t>
  </si>
  <si>
    <t>23-26</t>
  </si>
  <si>
    <t>10.1016/j.dsr2.2007.08.010</t>
  </si>
  <si>
    <t>251PK</t>
  </si>
  <si>
    <t>WOS:000252385500010</t>
  </si>
  <si>
    <t>Vaughan, APM</t>
  </si>
  <si>
    <t>Williams, M; Haywood, AM; Gregory, FJ; Schmidt, DN</t>
  </si>
  <si>
    <t>Vaughan, A. P. M.</t>
  </si>
  <si>
    <t>Climate and geology - a Phanerozoic perspective</t>
  </si>
  <si>
    <t>DEEP-TIME PERSPECTIVES ON CLIMATE CHANGE: MARRYING THE SIGNAL FROM COMPUTER MODELS AND BIOLOGICAL PROXIES</t>
  </si>
  <si>
    <t>ATMOSPHERIC CARBON-DIOXIDE; LARGE IGNEOUS PROVINCE; OCEANIC ANOXIC EVENT; LONG-CHAIN ALKENONES; ATLANTIC THERMOHALINE CIRCULATION; CRENARCHAEOTAL MEMBRANE-LIPIDS; CALCIUM ISOTOPE FRACTIONATION; ARTIFICIAL NEURAL-NETWORKS; GEOCHEMICAL MASS-BALANCE; SEA-SURFACE TEMPERATURES</t>
  </si>
  <si>
    <t>The Phanerozoic is comprised of over 540 million years and, with its defining accompaniment of abundant complex life, provides us with a unique perspective on the extremes of climate change. Understanding these extremes is particularly important if we are to anticipate the possible effects of global warming. The broad sweep of climate change through the Phanerozoic began with relatively cool global temperatures and recovery from late Proterozoic glaciation. This was followed by a mid-Cambrian to Ordovician episode of relatively warm global climate, after which global climate cooled, culminating in the major glaciations of the Carboniferous and Permian Periods. The Triassic and Early Jurassic were warm. The Late Jurassic-Early Cretaceous Period was cool, although without full global glaciation. Global temperatures peaked in the mid-Cretaceous. Since then, global climates have cooled, culminating in Neogene glaciation. These c. 100-million-year trends in overall climate show short intense excursions of contrasting climate, many of which have been associated with the mass extinction of life, and with major volcanic and tectonic events. This paper argues that, through the Phanerozoic, two overlapping stable climate regimes appear to have dominated: a high-CO2 (&gt;1000 ppmv), largely warm climate regime, punctuated by many short-lived episodes of glaciation; and a low-CO2 (&lt;1000 ppmv), largely cool regime, marked by protracted episodes of superglaciation.</t>
  </si>
  <si>
    <t>Vaughan, APM (corresponding author), British Antarctic Survey, Madingley Rd, Cambridge CB3 0ET, England.</t>
  </si>
  <si>
    <t>a.vaughan@bas.ac.uk</t>
  </si>
  <si>
    <t>Vaughan, Alan PM/B-7829-2010</t>
  </si>
  <si>
    <t>GEOLOGICAL SOC PUBLISHING HOUSE</t>
  </si>
  <si>
    <t>BATH</t>
  </si>
  <si>
    <t>UNIT 7, BRASSMILL ENTERPRISE CTR, BRASSMILL LANE, BATH BA1 3JN, AVON, ENGLAND</t>
  </si>
  <si>
    <t>978-1-86239-240-3</t>
  </si>
  <si>
    <t>Geology; Meteorology &amp; Atmospheric Sciences; Paleontology</t>
  </si>
  <si>
    <t>BQD44</t>
  </si>
  <si>
    <t>WOS:000280735300002</t>
  </si>
  <si>
    <t>Coxall, HK; Pearson, PN</t>
  </si>
  <si>
    <t>Coxall, H. K.; Pearson, P. N.</t>
  </si>
  <si>
    <t>The Eocene-Oligocene Transition</t>
  </si>
  <si>
    <t>ANTARCTIC ICE-SHEET; CARBON-DIOXIDE CONCENTRATIONS; MIDDLE EOCENE; ATMOSPHERIC CO2; SOUTHERN-OCEAN; SEA-WATER; MAUD-RISE; PALEOCLIMATIC IMPLICATIONS; EOCENE/OLIGOCENE BOUNDARY; SEDIMENT ACCUMULATION</t>
  </si>
  <si>
    <t>A diverse array of fossil, geochemical and sedimentary data shows patterns of major change at or near the Eocene-Oligocene boundary, indicating a period of fundamental climatic and biotic reorganization on Earth. Multiple lines of evidence support the hypothesis that these changes signal major global cooling, especially at high latitudes, and rapid growth of semipermanent ice-sheet on Antarctica in the early Oligocene. The quality and temporal resolution of Eocene-Oligocene fossil and sediment records and the diversity of climatic proxy tools have increased enormously in recent years, bringing a new level of detail to the study of this transition. The higher-resolution records have revealed that the climatic shifts across the Eocene-Oligocene boundary occurred in multiple stages that can be calibrated on orbital time-scales. Coupled with incresasingly sophisticated computer models, these records have led to significant advances in our understanding of possible causal mechanisms and feedbacks driving this global shift. Here we review the wealth of evidence for Eocene-Oligocene climate change, summarize the current state of understanding, and highlight the key areas still requiring work that might guide the direction of future research. Obtaining a thorough understanding of this critical climatic transition is important for highlighting the mechanisms and sensitivities of Cenozoic climate, and addressing topical questions relating to the dynamics of global change during greenhouse-icehouse climate switching.</t>
  </si>
  <si>
    <t>[Coxall, H. K.; Pearson, P. N.] Cardiff Univ, Sch Earth Ocean &amp; Planetary Sci, Cardiff CF10 3AT, S Glam, Wales</t>
  </si>
  <si>
    <t>Cardiff University</t>
  </si>
  <si>
    <t>Coxall, HK (corresponding author), Cardiff Univ, Sch Earth Ocean &amp; Planetary Sci, Main Bldg,Pk Pl, Cardiff CF10 3AT, S Glam, Wales.</t>
  </si>
  <si>
    <t>Helen.Coxall@earth.cf.ac.uk</t>
  </si>
  <si>
    <t>Pearson, Paul/B-2276-2009</t>
  </si>
  <si>
    <t>Pearson, Paul/0000-0003-4628-9818; Coxall, Helen/0000-0002-2843-2898</t>
  </si>
  <si>
    <t>WOS:000280735300016</t>
  </si>
  <si>
    <t>Pfuhl, HA; McCave, IN</t>
  </si>
  <si>
    <t>Pfuhl, H. A.; McCave, I. N.</t>
  </si>
  <si>
    <t>The Oligocene-Miocene boundary - cause and consequence from a Southern Ocean perspective</t>
  </si>
  <si>
    <t>CARBON-DIOXIDE CONCENTRATIONS; PLATE TECTONIC EVOLUTION; ANTARCTIC ICE-SHEET; VICTORIA LAND BASIN; LATE EOCENE; CENOZOIC HISTORY; MCMURDO SOUND; SW PACIFIC; SCOTIA SEA; ROSS SEA</t>
  </si>
  <si>
    <t>Understanding of Earth's transition from a warm, ice-free Cretaceous to today's bipolar glaciation is hotly debated. The Oligocene-Miocene boundary is marked by a brief glacial event followed by an interval of colder temperatures. Changes are small compared to the major Antarctic ice build-up at the Eocene-Oligocene boundary and establishment of a permanent Antarctic ice-sheet in the mid-Miocene. However, fossil evidence from low latitudes, including the faunal turnover which originally defined the Oligocene-Miocene boundary, indicates a reversal in trans-Atlantic flow, i.e. from westward to eastward, at this time. Modelling results suggest that a combined narrowing of the Tethys Seaway and deep opening of Drake Passage, and hence inception of Antarctic circumpolar circulation, drove reorganization of the patterns of ocean circulation. Despite evidence for a shallow Drake Passage opening in earliest Eocene time and subsequent deepening, a comparison of Southern Ocean isotopic records suggests that circumpolar circulation did not exist prior to e. 26 Ma. In fact, sedimentary records of a grain-size current-speed indicator from the Tasman Gateway reveal a singular, marked increase immediately preceding the initial Miocene event. The likely driver of this increase is inception of the full Antarctic Circumpolar Current. Among possible causes of early Cenozoic climate deterioration, the opening of seaways appears to play the major role. Extreme orbital configurations and pCO(2)-drawdown may act as reinforcing factors.</t>
  </si>
  <si>
    <t>[Pfuhl, H. A.] Univ Munich, Dept Earth &amp; Environm Sci, D-80333 Munich, Germany; [McCave, I. N.] Univ Cambridge, Dept Earth Sci, Godwin Lab Palaeoclimate Res, Cambridge CB2 3EQ, England</t>
  </si>
  <si>
    <t>University of Munich; University of Cambridge</t>
  </si>
  <si>
    <t>Pfuhl, HA (corresponding author), Univ Munich, Dept Earth &amp; Environm Sci, Theresienstr 41, D-80333 Munich, Germany.</t>
  </si>
  <si>
    <t>pfuhl@lmu.de</t>
  </si>
  <si>
    <t>McCave, Nick N/G-7323-2016; McCave, I. Nick/O-3992-2018; Pfuhl, Helen A/D-3255-2009</t>
  </si>
  <si>
    <t>McCave, Nick N/0000-0002-4702-5489; McCave, I. Nick/0000-0002-4702-5489;</t>
  </si>
  <si>
    <t>WOS:000280735300017</t>
  </si>
  <si>
    <t>Kucera, M; Schönfeld, J</t>
  </si>
  <si>
    <t>Kucera, M.; Schoenfeld, J.</t>
  </si>
  <si>
    <t>The origin of modern oceanic foraminiferal faunas and Neogene climate change</t>
  </si>
  <si>
    <t>GLOBIGERINELLA-SIPHONIFERA DORBIGNY; ATMOSPHERIC CARBON-DIOXIDE; SEA BENTHIC FORAMINIFERA; EQUATORIAL PACIFIC-OCEAN; DEEP-SEA; PLANKTONIC-FORAMINIFERA; CRYPTIC SPECIATION; SOUTHWEST PACIFIC; MIDDLE MIOCENE; NEOGLOBOQUADRINA-PACHYDERMA</t>
  </si>
  <si>
    <t>Planktonic and benthic foraminifera are the most significant providers of information on the state of surface and deep oceans in the past. Many foraminiferal proxies rely on the knowledge of ecological preferences of individual species and the assumption that these remained similar through time. Consequently, the applicability of such proxies is limited in time by the extent of the modern fauna. By analysing extensive datasets of species occurrences, we show that the modern oceanic foraminifer fauna originated during the Neogene. This occurred during two distinct diversification pulses: one in the Middle Miocene (17-14 Ma) and the second at the Miocene/Plioccne transition (7-4 Ma). The first diversification coincides with the time of a major change in the frequency of the dominant climate cycles during the Miocene Climatic Optimum. The environmental driver of the second diversification could be related to an increased provincialism induced by the closure of the Panama Seaway, but the exact link is not clear, particularly for the plankton. Surprisingly, major changes of ocean circulation due to the growth of Antarctic ice-sheet and closure of low-latitude seaways appear to have caused mainly extinctions. Given the age of the latest diversification and extinction pulses that shaped the modern foraminiferal fauna, we conclude that calibrated proxies based on assemblage properties should not be interpreted quantitatively in sediments older than the late Pliocene.</t>
  </si>
  <si>
    <t>[Kucera, M.] Univ Tubingen, Inst Geowissensch, D-72076 Tubingen, Germany; [Schoenfeld, J.] IFM GEOMAR, Leibniz Inst Marine Sci, D-24148 Kiel, Germany</t>
  </si>
  <si>
    <t>Eberhard Karls University of Tubingen; Helmholtz Association; GEOMAR Helmholtz Center for Ocean Research Kiel</t>
  </si>
  <si>
    <t>Kucera, M (corresponding author), Univ Tubingen, Inst Geowissensch, Sigwartstr 10, D-72076 Tubingen, Germany.</t>
  </si>
  <si>
    <t>michal.kucera@uni-tuebingen.de; jschoenfeld@ifm-geomar.de</t>
  </si>
  <si>
    <t>Kucera, Michal/ABH-6065-2020; Kucera, Michal/B-9277-2009</t>
  </si>
  <si>
    <t>Kucera, Michal/0000-0002-7817-9018</t>
  </si>
  <si>
    <t>WOS:000280735300018</t>
  </si>
  <si>
    <t>Haywood, AM; Valdes, PJ; Hill, DJ; Williams, M</t>
  </si>
  <si>
    <t>Haywood, A. M.; Valdes, P. J.; Hill, D. J.; Williams, M.</t>
  </si>
  <si>
    <t>The mid-Pliocene warm period: A test-bed for integrating data and models</t>
  </si>
  <si>
    <t>ATMOSPHERIC CARBON-DIOXIDE; TERRESTRIAL BIOSPHERE MODEL; SEA-SURFACE TEMPERATURES; GLOBAL VEGETATION MODEL; NORTH-ATLANTIC OCEAN; CLIMATE-CHANGE; JOINT INVESTIGATIONS; FEEDBACKS; CO2; RECONSTRUCTION</t>
  </si>
  <si>
    <t>In this paper, we present a summary of palaeoclimate modelling activities carried out for the mid-Pliocene, and demonstrate how a combined data and modelling approach has led to significant advances in our understanding and 'retrodiction' of the last great warm period of the Cenozoic Era. The development and refinement of mid-Pliocene palaeoenvironmental datasets is discussed, as are the steps that have been taken to increase the sophistication of the modelling effort. Initially, the discussion focuses on the use of Atmosphere-only General Circulation Models (AGCMs) and summarizes the results produced by such models. We then consider the importance of incorporating slab-ocean, dynamic ocean, mechanistic and dynamic vegetation models with AGCMs. Recent developments are considered and a strategy for further investigation is presented.</t>
  </si>
  <si>
    <t>[Haywood, A. M.; Hill, D. J.; Williams, M.] British Antarctic Survey, Geol Sci Div, Cambridge CB3 0ET, England; [Valdes, P. J.] Univ Bristol, Sch Geog Sci, Bristol BS8 1SS, Avon, England</t>
  </si>
  <si>
    <t>UK Research &amp; Innovation (UKRI); Natural Environment Research Council (NERC); NERC British Antarctic Survey; University of Bristol</t>
  </si>
  <si>
    <t>Haywood, AM (corresponding author), Univ Leeds, Sch Earth &amp; Environm, Environm Bldg, Leeds LS2 9JT, W Yorkshire, England.</t>
  </si>
  <si>
    <t>a.haywood@su.leeds.ac.uk</t>
  </si>
  <si>
    <t>Valdes, Paul J/C-4129-2013; Valdes, Paul/T-2004-2019; Williams, Mark/B-7590-2009</t>
  </si>
  <si>
    <t>Valdes, Paul/0000-0002-1902-3283; Williams, Mark/0000-0002-7987-6069; Hill, Daniel/0000-0001-5492-3925</t>
  </si>
  <si>
    <t>WOS:000280735300020</t>
  </si>
  <si>
    <t>Fauquette, S; Suc, JP; Jiménez-Moreno, G; Micheels, A; Jost, A; Favre, E; Bachiri-Taoufiq, N; Bertini, A; Clet-Pellerin, M; Diniz, F; Farjanel, G; Feddi, N; Zheng, Z</t>
  </si>
  <si>
    <t>Fauquette, S.; Suc, J. -P.; Jimenez-Moreno, G.; Micheels, A.; Jost, A.; Favre, E.; Bachiri-Taoufiq, N.; Bertini, A.; Clet-Pellerin, M.; Diniz, F.; Farjanel, G.; Feddi, N.; Zheng, Z.</t>
  </si>
  <si>
    <t>Latitudinal climatic gradients in the Western European and Mediterranean regions from the Mid-Miocene (c. 15 Ma) to the Mid-Pliocene (c. 3.5 Ma) as quantified from pollen data</t>
  </si>
  <si>
    <t>MESSINIAN SALINITY CRISIS; ANTARCTIC ICE-SHEET; EURASIAN CLIMATE; MARINE-SEDIMENTS; OCEAN MODEL; NORTHERN; RECONSTRUCTION; CIRCULATION; EVOLUTION; FRANCE</t>
  </si>
  <si>
    <t>In Europe and the Mediterranean region, the vegetation and climate of the Neogene is well understood, due to the abundance of pollen data, allowing the climate evolution at a time of global cooling to be described. This paper presents a climatic reconstruction of four key time-slices of the Neogene: the Mid-Miocene (c. 14 Ma), the Late Miocene (c. 10 Ma), the Early Pliocene (c. 5-5.3 Ma) and the Mid-Pliocene (c. 3.6 Ma). The results show that Neogene climate was warmer than today and that the transition from a weak latitudinal thermic gradient (around 0.48 degrees C/degree in latitude) to a gradient similar to that of today (0.6 degrees C/degree in latitude) took place at the end of the Miocene. The latitudinal precipitation gradient was more accentuated than today from the Mid-Miocene to the Mid-Pliocene, with higher precipitation than today in northwestern Europe and the northwestern Mediterranean but with conditions that were drier than or equivalent to today in the southwestern Mediterranean region.</t>
  </si>
  <si>
    <t>[Fauquette, S.] Univ Montpellier 2, CNRS, UMR 5554, Inst Sci Evolut Montpellier, F-34095 Montpellier 5, France; [Suc, J. -P.; Favre, E.] Univ Lyon 1, CNRS, UMR 5125, Lab Paleoenvironm &amp; Paleobiosphere, F-69622 Villeurbanne, France; [Jimenez-Moreno, G.] Univ Granada, Dept Estratig &amp; Paleontol, Granada 18002, Spain; [Jimenez-Moreno, G.] Univ New Mexico, Dept Earth &amp; Planetary Sci, Albuquerque, NM 87131 USA; [Jimenez-Moreno, G.] No Arizona Univ, Ctr Environm Sci &amp; Educ, Flagstaff, AZ 86011 USA; [Micheels, A.] Senckenberg Forschungsinst, D-60325 Frankfurt, Germany; [Micheels, A.] Natl Museum, D-60325 Frankfurt, Germany; [Jost, A.] Univ Paris 06, CNRS, UMR Sisyphe 7619, F-75252 Paris 05, France; [Bachiri-Taoufiq, N.] Univ Hassan II Mohammedia, Fac Sci Ben MSik, Dept Geol, Casablanca, Morocco; [Bertini, A.] Univ Florence, Dipartimento Sci Terra, I-50121 Florence, Italy; [Clet-Pellerin, M.] Univ Caen, CNRS, UMR 6143, F-14000 Caen, France; [Diniz, F.] Univ Lisbon, Dept Geol, P-1294 Lisbon, Portugal; [Feddi, N.] Univ Caddi Ayyad, Fac Sci, Dept Sci Terre, Marrakech, Morocco; [Zheng, Z.] Zhongshan Univ, Dept Earth Sci, Guangzhou 510275, Guangdong, Peoples R China</t>
  </si>
  <si>
    <t>Centre National de la Recherche Scientifique (CNRS); Institut de Recherche pour le Developpement (IRD); Universite de Montpellier; CNRS - Institute of Ecology &amp; Environment (INEE); Centre National de la Recherche Scientifique (CNRS); Universite Claude Bernard Lyon 1; University of Granada; University of New Mexico; Northern Arizona University; Senckenberg Gesellschaft fur Naturforschung (SGN); Sorbonne Universite; Centre National de la Recherche Scientifique (CNRS); CNRS - Institute of Ecology &amp; Environment (INEE); Hassan II University of Casablanca; University of Florence; Universite de Caen Normandie; Centre National de la Recherche Scientifique (CNRS); CNRS - National Institute for Earth Sciences &amp; Astronomy (INSU); Universidade de Lisboa; Cadi Ayyad University of Marrakech; Sun Yat Sen University</t>
  </si>
  <si>
    <t>Fauquette, S (corresponding author), Univ Montpellier 2, CNRS, UMR 5554, Inst Sci Evolut Montpellier, Pl Eugene Bataillon, F-34095 Montpellier 5, France.</t>
  </si>
  <si>
    <t>fauquet@isem.univ-montp2.fr</t>
  </si>
  <si>
    <t>Jiménez-Moreno, Gonzalo/K-6753-2017; Micheels, Arne/B-4773-2011; Jost, Anne/AAW-3993-2020; Bertini, Adele/KFQ-7894-2024; Fauquette, Severine/M-3686-2019</t>
  </si>
  <si>
    <t>Jiménez-Moreno, Gonzalo/0000-0001-7185-8686; Jost, Anne/0000-0002-0925-3376; Fauquette, Severine/0000-0003-0516-7734; BERTINI, Adele/0000-0002-9332-6725</t>
  </si>
  <si>
    <t>WOS:000280735300022</t>
  </si>
  <si>
    <t>Jimenez-Moreno, G; Popescu, SM; Ivanov, D; Suc, JP</t>
  </si>
  <si>
    <t>Jimenez-Moreno, G.; Popescu, S. -M.; Ivanov, D.; Suc, J. -P.</t>
  </si>
  <si>
    <t>Neogene flora, vegetation and climate dynamics in southeastern Europe and the northeastern Mediterranean</t>
  </si>
  <si>
    <t>CALCAREOUS NANNOFOSSIL BIOSTRATIGRAPHY; GEOLOGIC TIME-SCALE; LATE MIOCENE; DACIC BASIN; MARINE-SEDIMENTS; PLIOCENE; EVOLUTION; ECCENTRICITY; PARATETHYS; NORTHERN</t>
  </si>
  <si>
    <t>Pollen analysis of Miocene and Pliocene sediments from southeastern Europe and the northeastern Mediterranean is represented in pollen synthetic diagrams based on ecological criteria in order to clearly visualize changes in the composition and structure of the vegetation through time. New pollen data, together with abundant existing palynological information from this area, show a progressive reduction in plant diversity caused by a decrease in the most thermophilous and high-water requirement plants and, on the contrary, an increase in warm-temperate (mesothermic) and seasonal-adapted taxa during the Middle Late Miocene and Pliocene. At the same time, an increase in high-elevation trees and herbs has been recorded, with a strong augmentation in Artemisia, first in the eastern Mediterranean and later on in the western Mediterranean area. This has been interpreted as a response of the vegetation to global and regional processes, including climate cooling related to the development of the East Antarctic Ice Sheet (EAIS), uplift of regional mountains during Alpine orogenesis and progressive movement of Eurasia towards northern latitudes as a result of the northwards collision of Africa.</t>
  </si>
  <si>
    <t>[Jimenez-Moreno, G.; Popescu, S. -M.; Suc, J. -P.] Univ Lyon 1, CNRS, UMR 5125, Lab PaleoEnvironm &amp; PaleobioSphere, F-69622 Villeurbanne, France; [Jimenez-Moreno, G.] Univ Granada, Dept Estratig &amp; Paleontol, Granada 18002, Spain; [Ivanov, D.] Bulgarian Acad Sci, Inst Bot, BU-1113 Sofia, Bulgaria</t>
  </si>
  <si>
    <t>Universite Claude Bernard Lyon 1; Centre National de la Recherche Scientifique (CNRS); University of Granada; Bulgarian Academy of Sciences</t>
  </si>
  <si>
    <t>Jiménez-Moreno, G (corresponding author), No Arizona Univ, Ctr Environm Sci &amp; Educ, Box 5694, Flagstaff, AZ 86011 USA.</t>
  </si>
  <si>
    <t>gonzaloj@ugr.es; popescu@univ-lyon1.fr; dimiter@bio.bas.bg; jean-pierre.suc@univ-lyon1.fr</t>
  </si>
  <si>
    <t>Jiménez-Moreno, Gonzalo/K-6753-2017; Ivanov, Dimiter/P-5288-2016</t>
  </si>
  <si>
    <t>Jiménez-Moreno, Gonzalo/0000-0001-7185-8686; Ivanov, Dimiter/0000-0002-0677-6569</t>
  </si>
  <si>
    <t>WOS:000280735300023</t>
  </si>
  <si>
    <t>Hill, DJ; Haywood, AM; Hindmarsh, RCA; Valdes, PJ</t>
  </si>
  <si>
    <t>Hill, D. J.; Haywood, A. M.; Hindmarsh, R. C. A.; Valdes, P. J.</t>
  </si>
  <si>
    <t>Characterizing ice sheets during the Pliocene: evidence from data and models</t>
  </si>
  <si>
    <t>SOUTHERN VICTORIA LAND; JAMES-ROSS-ISLAND; SEA-LEVEL RISE; CENTRAL TRANSANTARCTIC MOUNTAINS; PRINCE-CHARLES MOUNTAINS; ATLANTIC COASTAL-PLAIN; SIRIUS GROUP SEDIMENTS; ANTARCTIC PENINSULA; CLIMATE-CHANGE; MIDDLE PLIOCENE</t>
  </si>
  <si>
    <t>The Pliocene (c. 5.3-1.8 Myr BP) was the last epoch of geological time in which global temperatures were generally higher than modern. It is important if we are to understand the dynamics of warm climates. This is particularly true of the interaction of climate and cryosphere, where the Pliocene may represent the first epoch in which ice sheets, at least on Antarctica, were a permanent feature. In this paper, we review the available evidence for the state of ice sheets during the Pliocene as well as previous attempts to model them. We then present new models and sensitivity studies of the mid-Pliocene East Antarctic Ice Sheet (EAIS) and consider the implications for the debate on ice-sheet stability during the Pliocene. These new reconstructions suggest that the mid-Pliocene EATS was significantly smaller than modern, but the modelled average mid-Pliocene climate is not sufficient to cause the widespread deglaciation suggested by Sirius Group diatom evidence.</t>
  </si>
  <si>
    <t>[Hill, D. J.; Haywood, A. M.] British Antarctic Survey, Geol Sci Div, Cambridge CB3 0ET, England; [Hindmarsh, R. C. A.] British Antarctic Survey, Div Phys Sci, Cambridge CB3 0ET, England; [Valdes, P. J.] Univ Bristol, Sch Geog Sci, Bristol BS8 1SS, Avon, England</t>
  </si>
  <si>
    <t>UK Research &amp; Innovation (UKRI); Natural Environment Research Council (NERC); NERC British Antarctic Survey; UK Research &amp; Innovation (UKRI); Natural Environment Research Council (NERC); NERC British Antarctic Survey; University of Bristol</t>
  </si>
  <si>
    <t>Hill, DJ (corresponding author), British Antarctic Survey, Geol Sci Div, Madingley Rd, Cambridge CB3 0ET, England.</t>
  </si>
  <si>
    <t>dahi@bas.ac.uk</t>
  </si>
  <si>
    <t>Valdes, Paul/T-2004-2019; Valdes, Paul J/C-4129-2013; Hindmarsh, Richard/C-1405-2012</t>
  </si>
  <si>
    <t>Valdes, Paul/0000-0002-1902-3283; Hill, Daniel/0000-0001-5492-3925; Hindmarsh, Richard/0000-0003-1633-2416</t>
  </si>
  <si>
    <t>WOS:000280735300024</t>
  </si>
  <si>
    <t>Nghiem, SV; Steffen, K; Neumann, G; Huff, R</t>
  </si>
  <si>
    <t>Tregoning, P; Rizos, C</t>
  </si>
  <si>
    <t>Nghiem, S. V.; Steffen, K.; Neumann, G.; Huff, R.</t>
  </si>
  <si>
    <t>Snow accumulation and snowmelt monitoring in Greenland and Antarctica</t>
  </si>
  <si>
    <t>DYNAMIC PLANET: MONITORING AND UNDERSTANDING A DYNAMIC PLANET WITH GEODETIC AND OCEANOGRAPHIC TOOLS</t>
  </si>
  <si>
    <t>International Association of Geodesy Symposia</t>
  </si>
  <si>
    <t>IAG Symposium on Dynamic Planet</t>
  </si>
  <si>
    <t>AUG 22-26, 2005</t>
  </si>
  <si>
    <t>Cairns, AUSTRALIA</t>
  </si>
  <si>
    <t>QuikSCAT; ICESat; ice mass balance; snowmelt; snow accumulation; sea level; Greenland; Antarctica</t>
  </si>
  <si>
    <t>ICE-SHEET; MELT; REGIONS</t>
  </si>
  <si>
    <t>Snow deposition, accumulation, and melt on an ice sheet are key components of mass balance. Innovative algorithms using satellite scatterometer data have been developed to monitor snowmelt, ice layer extent, and snow accumulation on Greenland with verifications using in-situ data from the Greenland Climate Network (GC-Net). QuikSCAT/SeaWinds Scatterometer (QSCAT) has collected data over Greenland and Antarctic two times per day since July 1999. QSCAT data show the shortest melt season in 2004, verified by GCNet data at ETH/CU Camp, and detect peculiar snowmelt during wintertime in Greenland in 2005. QSCAT results reveal a record increase in the snow accumulation rate on the Greenland ice sheet including the west flank in January-March 2005 with an estimate of 565 kM3 of total snow accumulation volume. The record snow anomaly is verified by GC-Net snow measurements, showing the largest snow accumulation rate in the first half of 2005 ever recorded in the past decade since the inception of the GC-Net. The QSCAT algorithins developed for Greenland are adapted for Antarctica. QSCAT results show strong melt in 2002 and prolonged melt in 2005 at McMurdo. New extensive ice layers, created by refreezing of melt water in the fim layer, were identified by QSCAT along the Antarctica Walgreen, Bakutis, and Hobbs coasts extending well inland in 2005. Extensive regions of ice layering, evidence of preceding strong melt occurrence, were also found over the Rockefeller Plateau and along the Ross Ice Shelf adjacent to Queen Maud Mountains in 2005.</t>
  </si>
  <si>
    <t>[Nghiem, S. V.; Neumann, G.] CALTECH, Jet Prop Lab, 4800 Oak Grove Dr,300-235, Pasadena, CA 91007 USA; [Steffen, K.; Huff, R.] Univ Colorado, Cooperat Inst Res Environm Sci, Boulder, CO 80309 USA</t>
  </si>
  <si>
    <t>California Institute of Technology; National Aeronautics &amp; Space Administration (NASA); NASA Jet Propulsion Laboratory (JPL); University of Colorado System; University of Colorado Boulder</t>
  </si>
  <si>
    <t>Nghiem, SV (corresponding author), CALTECH, Jet Prop Lab, 4800 Oak Grove Dr,300-235, Pasadena, CA 91007 USA.</t>
  </si>
  <si>
    <t>Steffen, Konrad/C-6027-2013</t>
  </si>
  <si>
    <t>National Aeronautics and Space Administration (NASA).; NASA</t>
  </si>
  <si>
    <t>National Aeronautics and Space Administration (NASA).(National Aeronautics &amp; Space Administration (NASA)); NASA(National Aeronautics &amp; Space Administration (NASA))</t>
  </si>
  <si>
    <t>The research carried out at the Jet Propulsion Laboratory, California Institute of Technology, was supported by the National Aeronautics and Space Administration (NASA). The research carried out at the Cooperative Institute for Research in Environmental Sciences, University of Colorado, was also supported by NASA.</t>
  </si>
  <si>
    <t>SPRINGER-VERLAG BERLIN</t>
  </si>
  <si>
    <t>BERLIN</t>
  </si>
  <si>
    <t>HEIDELBERGER PLATZ 3, D-14197 BERLIN, GERMANY</t>
  </si>
  <si>
    <t>0939-9585</t>
  </si>
  <si>
    <t>978-3-540-49349-5</t>
  </si>
  <si>
    <t>IAG SYMP</t>
  </si>
  <si>
    <t>Geochemistry &amp; Geophysics; Instruments &amp; Instrumentation; Oceanography</t>
  </si>
  <si>
    <t>BFY17</t>
  </si>
  <si>
    <t>WOS:000245419400005</t>
  </si>
  <si>
    <t>Plag, HP</t>
  </si>
  <si>
    <t>Plag, H.-P.</t>
  </si>
  <si>
    <t>Estimating recent global sea level changes</t>
  </si>
  <si>
    <t>Dynamic Planet: Monitoring and Understanding a Dynamic Planet with Geodetic and Oceanographic Tools</t>
  </si>
  <si>
    <t>INTERNATIONAL ASSOCIATION OF GEODESY SYMPOSIA</t>
  </si>
  <si>
    <t>global sea level rise; local sea level trends; ice sheets changes</t>
  </si>
  <si>
    <t>An empirical model for sea level trends over several decades is set up such that it is consistent with the global pattern of Local Sea Level (LSL) trends observed by the global network of tide gauges. The forcing factors taken into account are steric sea level variations, present-day ice load changes, and post-glacial rebound. Model parameters are determined in a least squares fit of the model to the LSL trends. The model allows the determination of the contribution of each factor to the global average LSL trend. Here we compare the solutions for two different LSL trend sets, namely one determined without and one with taking into account local atmospheric forcing at the tide gauges (denoted here as T1 an T2). From the globally given model, the global average trend over the last 50 years in LSL is found to be of the order of 1.05 +/- 0.75 mm/yr and 1.20 +/- 0.70 mm/yr for T1 and T2, respectively. For T1, the contribution of the Antarctic and Greenland ice sheets to the global average are 0.39 +/- 0.11 mm/yr and 0.10 +/- 0.05 mm/yr, respectively and for T2 0.31 +/- 0.16 mm/yr and 0.16 +/- 0.03 mm/yr, respectively. Using T1, the contribution from steric change is clearly identified and found to be at least 0.2 mm/yr with the most likely value being close to 0.35 mm/yr. For T2, there is no correlation between the spatial pattern of the observed LSL trends and the steric sea level trends, and the steric contribution to the global average turns out to be equal to zero. This result indicates a very high correlation between the local atmospheric forcing and the thermosteric sea level changes, which may be the result of a feedback of temperature changes in the upper layer of the ocean into the air pressure and wind field over the ocean.</t>
  </si>
  <si>
    <t>Univ Nevada, Nevada Bur Mines, Reno, NV 89557 USA</t>
  </si>
  <si>
    <t>Nevada System of Higher Education (NSHE); University of Nevada Reno</t>
  </si>
  <si>
    <t>Plag, HP (corresponding author), Univ Nevada, Nevada Bur Mines, Mailstop 178, Reno, NV 89557 USA.</t>
  </si>
  <si>
    <t>WOS:000245419400006</t>
  </si>
  <si>
    <t>Fukuda, Y; Hiraoka, Y; Doi, K</t>
  </si>
  <si>
    <t>Fukuda, Y.; Hiraoka, Y.; Doi, K.</t>
  </si>
  <si>
    <t>An experiment of precise gravity measurements on ice sheet, Antarctica</t>
  </si>
  <si>
    <t>temporal gravity changes; ice sheet; Antarctica; precise gravity measurements; absolute gravity measurement; kinematic GPS</t>
  </si>
  <si>
    <t>MASS-BALANCE; GRACE</t>
  </si>
  <si>
    <t>Aiming at the future applications of the precise gravity measurements for glaciological studies and the CALNAL (Calibration/ Validation) purpose of satellite gravity mission data, we conducted several experiments of precise gravity measurements on ice sheet near Syowa Station, Antarctica, during the 45th Japanese Antarctic Research Expedition (JARE-45). We established a test site where a set of 5 by 5 gravity points with a 10-m interval and the other set of 4 by 4 points between the 5 by 5 points are installed, and conducted gravity measurements as well as RTK (Real Time Kinematic) GPS surveys on the gravity points. Since the positions of the gravity points are moving due to the ice sheet flow with the speed of about 5 m/yr at the site, we simulated the gravity measurements on the moving ice sheet by evaluating how well the gravity values of the second set (4 by 4 points) could be estimated from the gravity values of the first sets (5 by 5 points). The result suggests that the measurements with an appropriate data processing enable 10 mu Gal accuracy even on the moving ice sheet.</t>
  </si>
  <si>
    <t>[Fukuda, Y.] Kyoto Univ, Grad Sch Sci, Sakyo Ku, Kyoto 6068502, Japan; [Hiraoka, Y.] Geol Survey Inst, Tokyo 3050811, Japan; [Doi, K.] Natl Inst Polar Res, Tokyo 1738515, Japan</t>
  </si>
  <si>
    <t>Kyoto University; Research Organization of Information &amp; Systems (ROIS); National Institute of Polar Research (NIPR) - Japan</t>
  </si>
  <si>
    <t>Fukuda, Y (corresponding author), Kyoto Univ, Grad Sch Sci, Sakyo Ku, Kyoto 6068502, Japan.</t>
  </si>
  <si>
    <t>WOS:000245419400016</t>
  </si>
  <si>
    <t>Amalvict, M; Willis, P; Shibuya, K</t>
  </si>
  <si>
    <t>Amalvict, M.; Willis, P.; Shibuya, K.</t>
  </si>
  <si>
    <t>Status of DORIS stations in Antarctica for precise geodesy</t>
  </si>
  <si>
    <t>absolute gravity; Antarctica; DORIS; GPS; Syowa; Terre Adelie; VLBI</t>
  </si>
  <si>
    <t>TERRESTRIAL REFERENCE FRAME; CRUSTAL MOTIONS; CLIMATE-CHANGE; PLATE MOTIONS; GPS DATA; SYSTEM; DEFORMATION; EARTH; CONSTRAINTS; PREDICTIONS</t>
  </si>
  <si>
    <t>Polar regions and especially Antarctica are nowadays recognised as exerting a major control upon the global Mean Sea Level (MSL) directly linked to climate changes. Monitoring and understanding the geodynamical behaviour of these regions is then of critical importance. The long-term displacement (or velocity) of reference sites helps constraining the ice sheet evolution prediction models. Several geodetic space techniques, such as GPS, observe displacements of such reference sites. In Antarctica, in addition to numerous GPS stations, four DORIS stations are permanently operating: Belgrano, Rothera, Syowa, Terre Adelie. In addition to the permanent DORIS stations, episodic DORIS campaigns took also place at Dome C / Concordia and on Sorsdal and Lambert glaciers. In this paper, we first present general information concerning the stations and the campaigns (exact location, period of measurements, etc). We then discuss the solutions obtained by different analysis centres (when available) for all DORIS stations in the Antarctic region. In particular, we use several ITRFs (from the early ITRF96 to ITRF2000) to see their impact on the derived velocities in Antarctica. An emphasis is given to the investigation and possible explanation of differences observed between each solution. Finally, we compare at these stations, the results of DORIS observations to the solutions from other geodetic techniques (GPS, VLBI) and to the results of repeated absolute gravity measurements (when available).</t>
  </si>
  <si>
    <t>[Amalvict, M.] Ecole &amp; Observat Sci Terre, Inst Phys Globe Strasbourg, 5 Rue Rene Descartes, F-67000 Strasbourg, France; [Amalvict, M.; Shibuya, K.] Natl Inst Polar Res, Itabashi Ku, Tokyo 1738515, Japan; [Willis, P.] Inst Geog Natl, Direction Tech, F-94160 St Mande, France; [Willis, P.] CALTECH, Jet Prop Lab, Pasadena, CA 91109 USA</t>
  </si>
  <si>
    <t>Universites de Strasbourg Etablissements Associes; Universite de Strasbourg; Research Organization of Information &amp; Systems (ROIS); National Institute of Polar Research (NIPR) - Japan; Universite Gustave-Eiffel; National Aeronautics &amp; Space Administration (NASA); NASA Jet Propulsion Laboratory (JPL); California Institute of Technology</t>
  </si>
  <si>
    <t>Amalvict, M (corresponding author), Ecole &amp; Observat Sci Terre, Inst Phys Globe Strasbourg, 5 Rue Rene Descartes, F-67000 Strasbourg, France.</t>
  </si>
  <si>
    <t>Martine.Amalvict@eost.u-strasbg.fr</t>
  </si>
  <si>
    <t>Willis, Pascal/A-8046-2008</t>
  </si>
  <si>
    <t>Willis, Pascal/0000-0002-3257-0679</t>
  </si>
  <si>
    <t>Japanese Society for the Promotion of Science (JSPS)</t>
  </si>
  <si>
    <t>Japanese Society for the Promotion of Science (JSPS)(Ministry of Education, Culture, Sports, Science and Technology, Japan (MEXT)Japan Society for the Promotion of Science)</t>
  </si>
  <si>
    <t>This study was carried out during the stay of MA at the National Institute for Polar Research (NIPR), Tokyo, Japan under a fellowship from the Japanese Society for the Promotion of Science (JSPS). Part of this research was carried out at the Jet Propulsion Laboratory, California Institute of Technology, under a contract with the National Aeronautics and Space Administration (NASA). Authors thank MN Bouin who provided her GPS results for Terre Ad61ie and K. Doi who drew the map of Antarctic DORIS stations. Authors are thankful to two anonymous reviewers for their helpful comments and constructive suggestions.</t>
  </si>
  <si>
    <t>WOS:000245419400017</t>
  </si>
  <si>
    <t>Boehm, J; Cerveira, PJM; Schuh, H; Tregoning, P</t>
  </si>
  <si>
    <t>Boehm, J.; Cerveira, P. J. Mendes; Schuh, H.; Tregoning, P.</t>
  </si>
  <si>
    <t>The impact of mapping functions for the neutral atmosphere based on numerical weather models in GPS data analysis</t>
  </si>
  <si>
    <t>mapping function; GPS; numerical weather model; VMF1</t>
  </si>
  <si>
    <t>DELAY; VLBI</t>
  </si>
  <si>
    <t>Since troposphere modelling is one of the major error sources in the geodetic applications of Global Positioning System (GPS) and Very Long Baseline Interferometry observations, mapping functions have been developed in the last years which are based on data from numerical weather models. This paper presents the first results with the Vienna Mapping Functions I (VMF1) implemented in a GPS software package (GAMIT/GLOBK). The analysis of a global GPS network from July 2004 until July 2005 with VMF1 and the Niell Mapping Functions (NMF) shows that station heights can change by more than 10 mm, in particular from December to January in the Antarctic, Japan, the northern part of Europe and the western part of Canada, and Alaska. The application of the VMF1 (instead of NMF) also improves the repeatability of the geodetic results and reduces seasonal signals in the station height time series.</t>
  </si>
  <si>
    <t>[Boehm, J.; Cerveira, P. J. Mendes; Schuh, H.] Vienna Univ Technol, Inst Geodesy &amp; Geophys, Gusshausstr 27-29, A-1040 Vienna, Austria; [Tregoning, P.] Australian Natl Univ, Res Sch Earth Sci, Canberra, ACT, Australia</t>
  </si>
  <si>
    <t>Technische Universitat Wien; Australian National University</t>
  </si>
  <si>
    <t>Boehm, J (corresponding author), Vienna Univ Technol, Inst Geodesy &amp; Geophys, Gusshausstr 27-29, A-1040 Vienna, Austria.</t>
  </si>
  <si>
    <t>Tregoning, Paul/D-9283-2013; Tregoning, Paul/N-4842-2018; Böhm, Johannes/O-1866-2019; Böhm, Johannes/H-9161-2013</t>
  </si>
  <si>
    <t>Tregoning, Paul/0000-0001-7192-5391; Tregoning, Paul/0000-0001-7192-5391; Böhm, Johannes/0000-0002-1208-5473; Böhm, Johannes/0000-0002-1208-5473</t>
  </si>
  <si>
    <t>Austrian Science Fund [P 16992-N 10]; Fonds National de la Recherche du Luxembourg [FNR/03/MA06/06]</t>
  </si>
  <si>
    <t>Austrian Science Fund(Austrian Science Fund (FWF)); Fonds National de la Recherche du Luxembourg(Luxembourg National Research Fund)</t>
  </si>
  <si>
    <t>We would like to thank ZAMG in Austria for providing us access to the ECMWF data and the Austrian Science Fund (FWF) (project P 16992-N 10) for supporting this work. We are also grateful to the IGS for providing the global geodetic data. The inclusion of the VMF1 into the GAMIT software was funded in part by the Fonds National de la Recherche du Luxembourg grant FNR/03/MA06/06. The GPS analyses were computed on the Terrawulf linux cluster belonging to the Centre for Advanced Data Inference at the Research School of Earth Sciences, The Austrian National University.</t>
  </si>
  <si>
    <t>WOS:000245419400118</t>
  </si>
  <si>
    <t>Grejner-Brzezinska, DA; Hong, CK; Wielgosz, P; Hothem, L</t>
  </si>
  <si>
    <t>Grejner-Brzezinska, D. A.; Hong, C-K.; Wielgosz, P.; Hothem, L.</t>
  </si>
  <si>
    <t>The impact of severe ionospheric conditions on the GPS hardware in the Southern Polar Region</t>
  </si>
  <si>
    <t>ionospheric effects on GPS; GPS hardware; GPS signal tracking conditions</t>
  </si>
  <si>
    <t>The primary objective of this paper is to present results of an experiment to determine the effects of moderate and severe ionospheric conditions on the GPS signal tracking by different L1/L2 receivers operating in the Southern Polar region. In this study, data collected by the Ohio State University (OSU) and the U.S. Geological Survey (USGS) joint team within the TAMDEF (Transantarctic Mountains Deformation) network were used together with the IGS and UNAVCO Antarctic stations. Seventeen Antarctic stations equipped with different dual-frequency GPS hardware were selected, and data were evaluated for two 24-hour periods of severe ionospheric storm (October 29th, 2003) and active ionospheric conditions (moderate storm of November 11th, 2003). The UNAVCO QC software was used to carry out the analyses. Depending on the data sampling rate and the elevation mask angle, the expected number of observations per receiver/satellite was compared to the actual number of measurements collected during the ionospheric storms, with a special emphasis on L2 data. Depending on the receiver model, the number of lost measurements during the severe ionospheric conditions ranged from 0.5% to 30.0%. In addition, the number of cycle slips (CS) per number of observations as a function of receiver model was computed; it shows great variation for different hardware. The possible variability of the ionospheric conditions at some of these sites (due to their separation) is considered in the conclusions. The results indicate that depending on the severity of ionospheric conditions, there is a significant difference in the impact on the operations of different hardware models. Thus, careful hardware selection is needed to assure data quality/continuity when observations may be affected by severe ionospheric disturbances.</t>
  </si>
  <si>
    <t>[Grejner-Brzezinska, D. A.; Hong, C-K.; Wielgosz, P.] Ohio State Univ, Dept Civil &amp; Environm Engn &amp; Geodet Sci, SPIN Lab, 470 Hitchcock Hall, Columbus, OH 43210 USA; [Hothem, L.] United States Geol Survey, Natl Ctr 521, Albany, NY 12201 USA</t>
  </si>
  <si>
    <t>University System of Ohio; Ohio State University; United States Department of the Interior; United States Geological Survey</t>
  </si>
  <si>
    <t>Grejner-Brzezinska, DA (corresponding author), Ohio State Univ, Dept Civil &amp; Environm Engn &amp; Geodet Sci, SPIN Lab, 470 Hitchcock Hall, Columbus, OH 43210 USA.</t>
  </si>
  <si>
    <t>Wielgosz, Pawel/B-9966-2012</t>
  </si>
  <si>
    <t>Wielgosz, Pawel/0000-0002-5542-1481</t>
  </si>
  <si>
    <t>WOS:000245419400122</t>
  </si>
  <si>
    <t>Lambert, B; Long, DG</t>
  </si>
  <si>
    <t>Butler, JJ; Xiong, J</t>
  </si>
  <si>
    <t>Lambert, Ben; Long, David G.</t>
  </si>
  <si>
    <t>Seasonal and interannual variations in Antarctic backscatter signature from 2000 to 2006 as observed by QnikSCAT - art. no. 667711</t>
  </si>
  <si>
    <t>EARTH OBSERVING SYSTEMS XII</t>
  </si>
  <si>
    <t>PROCEEDINGS OF THE SOCIETY OF PHOTO-OPTICAL INSTRUMENTATION ENGINEERS (SPIE)</t>
  </si>
  <si>
    <t>Conference on Earth Observing Systems XII</t>
  </si>
  <si>
    <t>AUG 26-28, 2007</t>
  </si>
  <si>
    <t>San Diego, CA</t>
  </si>
  <si>
    <t>Time-series analysis of Antarctic QuikSCAT data reveals several trends. An annual seasonal cycle in which backscatter power increases during the Austral winter and decreases during the Austral summer, is observed over most of the continent; with varying magnitude. Several areas also show a large (similar to 10dB) decrease in average backscatter during the Austral summer, suggesting melt events. As expected; seasonal variations are strongly dependent on latitude; the southernmost observable portion of the continent is much less seasonably variable than the coasts. Interanual trends show strong long-term trends superimposed on seasonal cycles in much of the continent. Along the coast of most of the continent, backscatter has consistently increased, on the order of 0.5 dB/year, during the seven-year study period. Other regions, mostly in the West-Antarctic interior show the opposite trend; with average backscatter decreasing on the order of 0.5 dB/year.</t>
  </si>
  <si>
    <t>[Lambert, Ben; Long, David G.] Brigham Young Univ, Provo, UT 84604 USA</t>
  </si>
  <si>
    <t>Brigham Young University</t>
  </si>
  <si>
    <t>Lambert, B (corresponding author), Brigham Young Univ, 459 Clyde Bldg, Provo, UT 84604 USA.</t>
  </si>
  <si>
    <t>Long, David G./K-4908-2015</t>
  </si>
  <si>
    <t>Long, David G./0000-0002-1852-3972</t>
  </si>
  <si>
    <t>SPIE-INT SOC OPTICAL ENGINEERING</t>
  </si>
  <si>
    <t>BELLINGHAM</t>
  </si>
  <si>
    <t>1000 20TH ST, PO BOX 10, BELLINGHAM, WA 98227-0010 USA</t>
  </si>
  <si>
    <t>0277-786X</t>
  </si>
  <si>
    <t>978-0-8194-6825-3</t>
  </si>
  <si>
    <t>P SOC PHOTO-OPT INS</t>
  </si>
  <si>
    <t>10.1117/12.732455</t>
  </si>
  <si>
    <t>Geosciences, Multidisciplinary; Optics</t>
  </si>
  <si>
    <t>Geology; Optics</t>
  </si>
  <si>
    <t>BGZ44</t>
  </si>
  <si>
    <t>WOS:000251496500036</t>
  </si>
  <si>
    <t>Masalu, DCP</t>
  </si>
  <si>
    <t>Masalu, Desiderius C. P.</t>
  </si>
  <si>
    <t>Mapping absolute migration of global mid-ocean ridges since 80 Ma to Present</t>
  </si>
  <si>
    <t>EARTH PLANETS AND SPACE</t>
  </si>
  <si>
    <t>Letter</t>
  </si>
  <si>
    <t>mid-ocean ridge; tectonics; tomography; absolute migration; melt; magnetic lineations</t>
  </si>
  <si>
    <t>EAST PACIFIC RISE; BASALT CHEMISTRY; PLATE BOUNDARY; AMERICAN PLATE; MOTION; HOTSPOTS; ATLANTIC; RIGIDITY; BENEATH; DEPTH</t>
  </si>
  <si>
    <t>We have computed and mapped the absolute migration of global mid-ocean ridges in the past 80 m.y. and found that ridges have migrated substantially during that period. Presently, the faster-migrating ridges are Pacific-Antarctic, Central Indian, Southeast Indian, Juan de Fuca, Pacific-Nazca, Antarctic-Nazca and AustraliaAntarctic ridges which migrate between 3.3 and 5.5 cm/yr. The slower-migrating ridges are Mid-Atlantic and Southwest Indian ridges which migrate between 0.3 and 2.0 cm/yr. Comparing these results with mantle tomography and geochemistry suggests that slower-migrating ridges have deeper depth of origin than faster-migrating ridges, implying a correlation between migration velocity and depth of origin of ridges. The reconstructed Southwestern Indian ridge (near 44 degrees E) between 60 Ma and Present, lies atop reconstructed Central Indian ridge between 80 and 50 Ma, and the present-day Antarctic-Nazca or (Chile) ridge lies atop the reconstructed East Pacific Rise at 70 Ma. Furthermore, the South Mid Atlantic Ridge and the East Pacific Rise near 10 degrees S appear to have been stationary relative to the mantle for the last 80 m.y. These observations suggest that different portions of the mantle have undergone different recycling history, and may explain the origin of mantle heterogeneities.</t>
  </si>
  <si>
    <t>Univ Dar Es Salaam, Inst Marine Sci, Zanzibar, Tanzania</t>
  </si>
  <si>
    <t>University of Dar es Salaam</t>
  </si>
  <si>
    <t>Masalu, DCP (corresponding author), Univ Dar Es Salaam, Inst Marine Sci, POB 668, Zanzibar, Tanzania.</t>
  </si>
  <si>
    <t>masalu@ims.udsm.ac.tz</t>
  </si>
  <si>
    <t>TERRA SCIENTIFIC PUBL CO</t>
  </si>
  <si>
    <t>TOKYO</t>
  </si>
  <si>
    <t>2003 SANSEI JIYUGAOKA HAIMU, 5-27-19 OKUSAWA, SETAGAYA-KU, TOKYO, 158-0083, JAPAN</t>
  </si>
  <si>
    <t>1343-8832</t>
  </si>
  <si>
    <t>EARTH PLANETS SPACE</t>
  </si>
  <si>
    <t>Earth Planets Space</t>
  </si>
  <si>
    <t>10.1186/BF03352047</t>
  </si>
  <si>
    <t>220CG</t>
  </si>
  <si>
    <t>hybrid</t>
  </si>
  <si>
    <t>WOS:000250133900009</t>
  </si>
  <si>
    <t>Aso, T</t>
  </si>
  <si>
    <t>Aso, Takehiko</t>
  </si>
  <si>
    <t>A note on the semidiurnal non-migrating tide at polar latitudes</t>
  </si>
  <si>
    <t>semidiurnal tide; non-migrating tide; stationary planetary wave; polar mesosphere and lower thermosphere</t>
  </si>
  <si>
    <t>ATMOSPHERIC TIDES; SOUTH-POLE; CIRCULATION MODEL; MIDDLE ATMOSPHERE; METEOR RADAR; THERMOSPHERE; OSCILLATION; SOLAR</t>
  </si>
  <si>
    <t>In the Antarctic upper mesosphere and lower thermosphere around 90 km, meteor radar observations at the South Pole have detected a significant semidiurnal wind component in summer which is found to be non-migrating with zonal wavenumber s = 1. It has been surmised that this component might possibly be excited through the non-linear interaction of the migrating semidiurnal tide with stationary planetary waves with zonal wavenumber s = 1 prevailing at stratospheric heights. The Kyushu University GCM has been successful in elucidating very unambiguously this conjecture. In the present paper, linearized steady tidal modeling is carried out in this connection to reproduce, by a fairly simplified but explicit model, trans-equatorial propagation of non-migrating semidiurnal tide forced in the opposite winter hemisphere and to compare latitudinal structures of migrating and non-linearly excited intermittent tides in view of polar latitudes where non-migrating tide tends to dominate over migrating tide. It is also shown that the re-analysis meteorological data for almost 10 years clearly supports the well-known N-S asymmetry in stationary planetary wave activity in winter polar stratospheric regions, possibly due to the difference in surface topography between two hemispheres. We suggest that there might be significant asymmetry in the summertime enhancement of semidiurnal non-migrating tide between both polar regions. This phenomenon may be in a context similar with the N-S asymmetry of gravity wave activity in the polar regions, possibly giving rise to N-S disparity of cold summertime mesopause temperature. Clarification awaits intensive bi-polar studies by coordinated radar and optical observations which are running both in the Arctic and Antarctic regions.</t>
  </si>
  <si>
    <t>Res Org Informat &amp; Syst, Natl Inst Polar Res, Tokyo 1738515, Japan</t>
  </si>
  <si>
    <t>Research Organization of Information &amp; Systems (ROIS); National Institute of Polar Research (NIPR) - Japan</t>
  </si>
  <si>
    <t>Aso, T (corresponding author), Res Org Informat &amp; Syst, Natl Inst Polar Res, Kaga 1-9-10,Itabashi, Tokyo 1738515, Japan.</t>
  </si>
  <si>
    <t>t-aso@nipr.ac.jp</t>
  </si>
  <si>
    <t>E21</t>
  </si>
  <si>
    <t>E24</t>
  </si>
  <si>
    <t>10.1186/BF03352024</t>
  </si>
  <si>
    <t>255JL</t>
  </si>
  <si>
    <t>WOS:000252654200010</t>
  </si>
  <si>
    <t>Harley, SL; Kelly, NM</t>
  </si>
  <si>
    <t>VanKranendonk, MJ; Smithies, RH; Bennett, VC</t>
  </si>
  <si>
    <t>Harley, Simon L.; Kelly, Nigel M.</t>
  </si>
  <si>
    <t>ANCIENT ANTARCTICA: THE ARCHAEAN OF THE EAST ANTARCTIC SHIELD</t>
  </si>
  <si>
    <t>EARTH'S OLDEST ROCKS</t>
  </si>
  <si>
    <t>Developments in Precambrian Geology</t>
  </si>
  <si>
    <t>[Harley, Simon L.; Kelly, Nigel M.] Univ Edinburgh, Grant Inst Earth Sci, Sch GeoSci, Edinburgh EH8 9YL, Midlothian, Scotland</t>
  </si>
  <si>
    <t>University of Edinburgh</t>
  </si>
  <si>
    <t>Harley, SL (corresponding author), Univ Edinburgh, Grant Inst Earth Sci, Sch GeoSci, Kings Bldg,W Mains Rd, Edinburgh EH8 9YL, Midlothian, Scotland.</t>
  </si>
  <si>
    <t>Simon.Harley@ed.ac.uk</t>
  </si>
  <si>
    <t>EIMF, EIMF/AAD-8512-2020</t>
  </si>
  <si>
    <t>EIMF, EIMF/0000-0001-6248-6657; Harley, Simon/0000-0002-1903-939X</t>
  </si>
  <si>
    <t>0166-2635</t>
  </si>
  <si>
    <t>978-0-08-055247-7</t>
  </si>
  <si>
    <t>DEV PREC G</t>
  </si>
  <si>
    <t>10.1016/S0166-2635(07)15032-5</t>
  </si>
  <si>
    <t>BCM48</t>
  </si>
  <si>
    <t>WOS:000310707600011</t>
  </si>
  <si>
    <t>Rebesco, M; Camerlenghi, A; Volpi, V; Neagu, C; Accettella, D; Lindberg, B; Cova, A; Zgur, F</t>
  </si>
  <si>
    <t>Viana, AR; Rebesco, M</t>
  </si>
  <si>
    <t>Rebesco, M.; Camerlenghi, A.; Volpi, V.; Neagu, C.; Accettella, D.; Lindberg, B.; Cova, A.; Zgur, F.</t>
  </si>
  <si>
    <t>Magico Party</t>
  </si>
  <si>
    <t>Interaction of processes and importance of contourites: insights from the detailed morphology of sediment Drift 7, Antarctica</t>
  </si>
  <si>
    <t>ECONOMIC AND PALAEOCEANOGRAPHIC SIGNIFICANCE OF CONTOURITE DEPOSITS</t>
  </si>
  <si>
    <t>Geological Society Special Publication</t>
  </si>
  <si>
    <t>CONTINENTAL RISE WEST; ICE-SHEET; SEISMIC EXPRESSION; PACIFIC MARGIN; PENINSULA; WATER; ARCHITECTURE; DYNAMICS; GEOMETRY; DEPOSIT</t>
  </si>
  <si>
    <t>As the definition of contourites has widened to embrace a large spectrum of sediments in so-called mixed systems, the distinction between contourites and turbidites has become at times vague. The case history of sediment Drift 7 off the Antarctic Peninsula is analysed in this paper in the light of newly acquired swath bathymetry data. The co-existence of various sedimentary processes is reflected in a complex morphology: erosional gullies produced by debris flows on the upper part of the continental slope; deeply incised channels at the slope base; main trunk-type inter-drift turbidity channels separating the drifts; slide scars; undulating depositional bedforms interpreted as bottom-current sediment waves; fluid escape structures perhaps associated with deep-water coral bioherms. The data suggest that Drift 7 is a genuine sediment drift in which bottom currents pirate the sediment of the turbidity currents. Finally, we propose that the control on location and elongation of the drift is inherited from an older margin structure. The relationships between bottom current and deposition are investigated through a comparison with the SE Greenland continental margin, an analogous counterpart in the northern hemisphere.</t>
  </si>
  <si>
    <t>[Rebesco, M.; Volpi, V.; Neagu, C.; Accettella, D.; Cova, A.; Zgur, F.] Ist Nazl Oceanog &amp; Geofis Sperimentale OGS, I-34010 Trieste, Italy; [Camerlenghi, A.] Univ Barcelona, ICREA, GRC Geociencies Marines, Dept Estratig P &amp; Geociencies Marines,Fac Geol, E-08028 Barcelona, Spain; [Lindberg, B.] Univ Tromso, Dept Geol, NO-9037 Tromso, Norway</t>
  </si>
  <si>
    <t>Istituto Nazionale di Oceanografia e di Geofisica Sperimentale; University of Barcelona; ICREA; UiT The Arctic University of Tromso</t>
  </si>
  <si>
    <t>Rebesco, M (corresponding author), Ist Nazl Oceanog &amp; Geofis Sperimentale OGS, Borgo Grotta Gigante 42-C, I-34010 Trieste, Italy.</t>
  </si>
  <si>
    <t>mrebesco@ogs.trieste.it</t>
  </si>
  <si>
    <t>Camerlenghi, Angelo/AAG-3852-2019; Rebesco, Michele/B-7462-2014; Camerlenghi, Angelo/O-1593-2013</t>
  </si>
  <si>
    <t>Camerlenghi, Angelo/0000-0002-8128-9533; Rebesco, Michele/0000-0002-9492-4081; Camerlenghi, Angelo/0000-0002-8128-9533; Volpi, Valentina/0000-0002-4407-615X; Zgur, Fabrizio/0000-0002-7761-4110</t>
  </si>
  <si>
    <t>ICREA Funding Source: Custom</t>
  </si>
  <si>
    <t>ICREA(ICREA)</t>
  </si>
  <si>
    <t>0305-8719</t>
  </si>
  <si>
    <t>978-1-86239-226-7</t>
  </si>
  <si>
    <t>GEOL SOC SPEC PUBL</t>
  </si>
  <si>
    <t>Geol. Soc. Spec. Publ.</t>
  </si>
  <si>
    <t>10.1144/GSL.SP.2007.276.01.05</t>
  </si>
  <si>
    <t>BKH84</t>
  </si>
  <si>
    <t>WOS:000268153200006</t>
  </si>
  <si>
    <t>Lucchi, RG; Rebesco, M</t>
  </si>
  <si>
    <t>Lucchi, Renata G.; Rebesco, Michele</t>
  </si>
  <si>
    <t>Glacial contourites on the Antarctic Peninsula margin: insight for palaeoenvironmental and palaeoclimatic conditions</t>
  </si>
  <si>
    <t>SOUTH SHETLAND ISLANDS; SLOPE SEDIMENTATION ADJACENT; SEA-ICE; CONTINENTAL-SLOPE; HIGH-LATITUDE; GLACIOMARINE SEDIMENTATION; GLACIMARINE SEDIMENTS; DISENCHANTMENT BAY; SURFACE SEDIMENTS; PACIFIC MARGIN</t>
  </si>
  <si>
    <t>Deep-sea finely laminated and barren glacial sediments occur in the sediment drift field offshore the Pacific margin of the Antarctic Peninsula where a weak contour current flows at present to the SW. Atypical sedimentary facies were related to the coexistence and interaction of different sedimentary processes. Three 'end-members' of radiograph facies were defined to represent the sedimentary sequences controlled by a dominant process, as follows. (1) Direct influence of turbidity currents on sedimentation is observed in the area surrounding the Alexander Channel system with silty layers interbedded with laminated mud free of ice-rafted debris (IRD). (2) Distal meltwater turbid flows dominate the more proximal area of the top plateau with structureless and coarser-grained sediments containing IRD. (3) Along the crest of the drift, persistent weak bottom currents control the deposition of fine-grained sediments conveyed into the system through other processes. These laminated sediments contain IRD and are, atypically, not bioturbated, because of unusual, climatically related, environmental conditions of suppressed primary productivity and oxygen-reduced deep waters. These glacial contourites were observed on most of the Antarctic margin with the exception of the areas in which polynyas were maintained during the glacial stages. Glacial contourites can be used as a proxy to define temporal and spatial extension of the Antarctic sea-ice.</t>
  </si>
  <si>
    <t>[Lucchi, Renata G.; Rebesco, Michele] Ist Nazl Oceanog &amp; Geofis Sperimentale OGS, I-34010 Trieste, Italy</t>
  </si>
  <si>
    <t>Istituto Nazionale di Oceanografia e di Geofisica Sperimentale</t>
  </si>
  <si>
    <t>Lucchi, RG (corresponding author), Univ Barcelona, GRC Geociencies Marines, Dept Estratig P &amp; Geociencies Marines, Fac Geol, E-08028 Barcelona, Spain.</t>
  </si>
  <si>
    <t>rglucchi@ub.edu</t>
  </si>
  <si>
    <t>Rebesco, Michele/B-7462-2014</t>
  </si>
  <si>
    <t>Rebesco, Michele/0000-0002-9492-4081; Lucchi, Renata Giulia/0000-0001-5111-6968</t>
  </si>
  <si>
    <t>10.1144/GSL.SP.2007.276.01.06</t>
  </si>
  <si>
    <t>WOS:000268153200007</t>
  </si>
  <si>
    <t>Carter, RM</t>
  </si>
  <si>
    <t>Carter, R. M.</t>
  </si>
  <si>
    <t>The role of intermediate-depth currents in continental shelf-slope accretion: Canterbury Drifts, SW Pacific Ocean</t>
  </si>
  <si>
    <t>WESTERN BOUNDARY CURRENT; NEW-ZEALAND; SOUTHWEST PACIFIC; SEDIMENT DRIFTS; SOUTHLAND CURRENT; NORTH-ATLANTIC; BOUNTY TROUGH; EARLY MIOCENE; CONTOURITES; MARGIN</t>
  </si>
  <si>
    <t>The Late Oligocene to Recent Canterbury Drifts were deposited in water depths between c. 400 and c. 1500 m by northward-flowing, cold, intermediate-depth water masses: Sub-antarctic Mode Water (SAMW), Antarctic Intermediate Water (AAIW) and their predecessor current flows. Drift accumulation started at c. 24 Ma, fed by terrigenous sediment derived from the newly rising Alpine Fault plate boundary in the west, which has built a progradational shelf-slope sediment prism up to 130km wide at rates of eastward advance of up to 5.4 km Ma(-1). Gentle uplift associated with the nearby plate boundary has exposed older Late Oligocene and Miocene drifts onland (Bluecliffs Formation). Ocean Drilling Program Site 1119, located 100 km offshore at a water depth of 394 m, penetrated a 428 m thickness of mid-Pliocene to Pleistocene (0-3.9 Ma) drift located just seaward of the eastern South Island shelf edge. Uniquely, these large (&gt;60 000 km(3)), regionally extensive, intermediate-depth sediment drifts can be examined in outcrop, in marine drill-core and at the modern sea bed. The drifts comprise planar-bedded units up to several metres thick. Some sand intervals have sharp, erosive bases and normally graded tops into overlying siltstone; others are symmetrically graded with reversegraded bases and normally graded tops. Bioturbation is moderate and rarely destroys the pervasive background, centimetre-scale, planar or wispy alternation of muddy and sandy silts displayed by Formation Micro-Scanner imagery. These features are consistent with deposition from rhythmically fluctuating bottom currents. Texturally, the drifts are polymodal quartzofeldspathic silty sands, sandy silts, silts and silty clays, with varying admixtures of benthic and biopelagic carbonate and silica. Miocene samples are mostly dominated by coarse silt (45-60 mu m) and very fine sand (70-105 mu m) grain-size modes, whereas strong fine silt (11-13 mu m) and very fine silt-clay (&lt;5 mu m) modes become dominant after c. 3.1 Ma in the Late Pliocene, consistent with an increasing input of glacially ground material. Over the Plio-Pleistocene part of the succession, the sand-silt lithological rhythmicity occurs in synchroneity with Milankovitch-scale climate cycling, with periods of inferred faster current flow (sand intervals) mostly corresponding to warm, interglacial periods. Northward drift dispersal has helped cause the seaward growth of the eastern South Island shelf-slope system since the Late Oligocene probably by clinoform progradation and by episodic welding of mounded slope drifts onto the pre-existing sediment prism. Such along-slope, contourite drift accumulation occurs even in the absence of mounded drifts on seismic profiles, and represents a previously underemphasized mechanism for the progradation of shelf-slope clinoforms, worldwide. The Canterbury Drifts vary in thickness from c. 300 m near the early Miocene shoreline, where they were accumulating in limited shallow-water accommodation, to c. 2000 m under the modern shelf edge. Mounded drifts first occur in the Middle Miocene, at c. 15 Ma, their appearance perhaps reflecting more vigorous intermediate water flow consequent upon the worldwide climatic deterioration between 15 and 13 Ma. At Site 1119, a further change from large (&gt;10 km wide) to smaller (1-3 km wide) mounded slope drifts occurs at c. 3.1 Ma, marking further cooling and perhaps the inception of discrete SAMW flows and initiation of the Subantarctic Front.</t>
  </si>
  <si>
    <t>James Cook Univ, Marine Geophys Lab, Townsville, Qld 4811, Australia</t>
  </si>
  <si>
    <t>James Cook University</t>
  </si>
  <si>
    <t>Carter, RM (corresponding author), James Cook Univ, Marine Geophys Lab, Townsville, Qld 4811, Australia.</t>
  </si>
  <si>
    <t>bob.carter@jcu.edu.au</t>
  </si>
  <si>
    <t>10.1144/GSL.SP.2007.276.01.07</t>
  </si>
  <si>
    <t>WOS:000268153200008</t>
  </si>
  <si>
    <t>Duarte, CSL; Viana, AR</t>
  </si>
  <si>
    <t>Duarte, Claudio S. L.; Viana, Adriano R.</t>
  </si>
  <si>
    <t>Santos Drift System: stratigraphic organization and implications for late Cenozoic palaeocirculation in the Santos Basin, SW Atlantic Ocean</t>
  </si>
  <si>
    <t>OBLIQUELY RIFTED MARGIN; DEEP-WATER CIRCULATION; SOUTH-ATLANTIC; GEOSTROPHIC CIRCULATION; SEQUENCE STRATIGRAPHY; ANTARCTIC GLACIATION; CONTINENTAL-MARGIN; GEOLOGIC HISTORY; BRAZIL CURRENT; EVOLUTION</t>
  </si>
  <si>
    <t>High-quality 2D and 3D seismic data were analysed to investigate the stratigraphic organization of the sedimentary deposits and the impact of the palaeocirculation of the SW Atlantic Ocean in the construction of the Santos Basin slope from late Palaeogene to Recent time. Seven seismic sequences were identified based on their external geometry, internal seismic pattern and seismic boundaries. A correlation between these sequences, the glacio-eustatic curves and the major climatic-palaeoceanographic events was attempted. The base of the studied sequences is the c. 28 Ma intra-Oligocene Rupelian-Chatian unconformity. Six other seismic horizons corresponding to the sequence boundaries were mapped ranging from the late Oligocene to the Pliocene. Variations in the bottom-current intensity were characterized by the seismic pattern of each sequence and by the evolution of margin physiography. A 100 km long channel-like gutter, the Santos Channel, was excavated at the foot of an intra-slope escarpment. It was the locus of major flow circulation until the middle Miocene, when the margin physiography reorganization transferred the main axis of deep current action downslope and excavated the Sao Paulo Channel at the foot of the present continental slope. Two major contourite drifts were accumulated in response to the different combinations of bottom-current axis position and slope physiography. Those drifts constitute the Santos Drift System. Conversely to the present-day circulation pattern, with southward flow above the slope dominated by the western boundary Brazil Current, both at surface and deep waters, the geological record indicates that the palaeocirculation in the Santos Basin was marked by the opposite sense of circulation of surface waters (southward palaeo Brazil Current) and of the intermediate to deep waters (northward Southern Ocean Current). The study indicates that periods of relative sea-level rise to highstands correspond to increase in drift accumulation whereas during lowstands slope drift sedimentation is reduced.</t>
  </si>
  <si>
    <t>[Duarte, Claudio S. L.; Viana, Adriano R.] Petrobras SA, E&amp;P Explorat, BR-20031912 Rio De Janeiro, Brazil</t>
  </si>
  <si>
    <t>Petrobras</t>
  </si>
  <si>
    <t>Duarte, CSL (corresponding author), Petrobras SA, E&amp;P Explorat, 65 Republ Chile Av,13th Floor, BR-20031912 Rio De Janeiro, Brazil.</t>
  </si>
  <si>
    <t>aviana@petrobras.com.br</t>
  </si>
  <si>
    <t>Viana, Adriano Roessler/D-6016-2013</t>
  </si>
  <si>
    <t>10.1144/GSL.SP.2007.276.01.09</t>
  </si>
  <si>
    <t>WOS:000268153200010</t>
  </si>
  <si>
    <t>Norden, WS; Pierre, JP</t>
  </si>
  <si>
    <t>Norden, W. S.; Pierre, J. P.</t>
  </si>
  <si>
    <t>Exploiting sensory ecology to reduce seabird by-catch</t>
  </si>
  <si>
    <t>EMU</t>
  </si>
  <si>
    <t>PROCELLARIIFORM SEABIRDS; ANTARCTIC SEABIRDS; DIMETHYL SULFIDE; SOUTHERN-OCEAN; FISHERY; BYCATCH; IMPACT; ALBATROSSES; ATTRACTION; OLFACTION</t>
  </si>
  <si>
    <t>In a previous study, we reported that deploying small amounts of biogenic oil derived from the livers of school sharks (Galeorhinus galeus) was effective in reducing the numbers of seabirds attending fishing vessels and seabird diving activity in the Hauraki Gulf, New Zealand. This seabird assemblage was numerically dominated by Flesh-footed Shearwaters (Puffinus carneipes) and the globally vulnerable Black Petrel (Procellaria parkinsoni). The results suggested that the oil deterrent operated via an olfactory or chemesthetic mechanism. Here we compare the deterrent effects of shark-liver oil with three other fish oils, in the Flesh-footed Shearwater-Black Petrel assemblage. We also report on trials assessing the deterrent efficacy of shark-liver oil and one other fish oil in an assemblage including four species of albatrosses (Diomedea spp., Thalasarcche spp.), Southern and Northern Giant-Petrels (Macronectes giganteus and M. halli), and Cape Petrels (Daption capense). Shark-liver oil was the most effective deterrent of the four fish oils tested in the Flesh-footed Shearwater-Black Petrel assemblage, but it did not deter albatrosses, giant-petrels or Cape Petrels from attending vessels. Thus, the deterrent was effective only on burrow-nesting seabird species. These results may provide further support for our speculation that the deterrent operates via an olfactory mechanism, while corroborating other work linking life-history characteristics of seabirds to their sensory ecology. We recommend research to investigate the mechanism and active ingredients by which shark-liver oil deters some species of seabirds. We also suggest testing fish oils on White-chinned (Procellaria aequinoctialis) and Grey (Procellaria cinerea) Petrels, and Sooty Shearwaters (Puffinus griseus), as well as in other areas occupied by Flesh-footed Shearwaters, to assess further potential for this natural oil or its ingredients to reduce by-catch of seabird species globally.</t>
  </si>
  <si>
    <t>Dept Conservat, Marine Conservat Unit, Wellington 6143, New Zealand</t>
  </si>
  <si>
    <t>Pierre, JP (corresponding author), Dept Conservat, Marine Conservat Unit, POB 10-420, Wellington 6143, New Zealand.</t>
  </si>
  <si>
    <t>jpierre@doc.govt.nz</t>
  </si>
  <si>
    <t>Fennell, Hannah/AAI-1408-2019</t>
  </si>
  <si>
    <t>0158-4197</t>
  </si>
  <si>
    <t>1448-5540</t>
  </si>
  <si>
    <t>Emu</t>
  </si>
  <si>
    <t>10.1071/MU06050</t>
  </si>
  <si>
    <t>Ornithology</t>
  </si>
  <si>
    <t>147VF</t>
  </si>
  <si>
    <t>WOS:000245030100006</t>
  </si>
  <si>
    <t>Thalmann, S; Baker, B; Hindell, M; Double, MC; Gales, R</t>
  </si>
  <si>
    <t>Thalmann, Sam; Baker, Barry; Hindell, Mark; Double, Michael C.; Gales, Rosemary</t>
  </si>
  <si>
    <t>Using biometric measurements to determine gender of Flesh-footed Shearwaters, and their application as a tool in long-line by-catch management and ecological field studies</t>
  </si>
  <si>
    <t>SEXUAL SIZE-DIMORPHISM; GIANT-PETRELS; EXTERNAL MEASUREMENTS; FORAGING STRATEGIES; SHY ALBATROSSES; DISCRIMINANT; POPULATION; AUSTRALIA; MORPHOMETRICS; CONSERVATION</t>
  </si>
  <si>
    <t>We examined sexual dimorphism in I 1 morphological characters of the Flesh-footed Shearwater (Puffinus carneipes) and used these characters in a discriminant function analysis (DFA) to enable sexual classification in the field. We also used molecular techniques to determine gender in live birds. Sexual dimorphism was present in all characters tested, with males (n = 50) significantly larger than females (n = 52) in all cases. A stepwise DFA of the 11 morphological characters resulted in gender being correctly assigned in 91% of birds using head-bill length (HBL), minimum bill-depth (MBD), and superior unguicorn-width (SUW), using the generalised function -48.360 + (0.661 x SUW) + (0.931 x MBD) + (0.334 x HBL). Of the nine misclassifications, seven were a result of females being incorrectly assigned as males, indicating an overlap between the upper cut off value for females with the lower threshold value for males. We applied the DFA to an existing morphometric dataset (n = 219) of Flesh-footed Shearwaters caught as incidental by-catch from long-line fishing in the Eastern Tuna and Billfish Fishery. The generalised discriminant function derived from live birds performed poorly when applied to the by-catch sample (only 68.5% correctly sexed), and the issues of data consistency and the application of discriminant functions between populations are discussed. A two-character DFA constructed from the by-catch dataset (-30.128 + 0.206 x HBL + 0.848 x MBD) resulted in 86% of by-catch birds being correctly sexed. The findings suggest that a combination of the morphological traits HBL, MBD and SUW are sufficiently robust to use in the field to determine the gender of live birds. The merits and application of this technique are discussed in relation to seabird conservation and management.</t>
  </si>
  <si>
    <t>Univ Tasmania, Inst Antarctic &amp; So Ocean Studies, Hobart, Tas 7007, Australia; Univ Tasmania, Sch Zool, Antarct Wildlife Res Unit, Hobart, Tas 7001, Australia; Australian Govt Antarctic Div, Kingston, Tas 7050, Australia; Australian Ctr Appl Marine Mammal Sci, Australian Govt Antarctic Div, Kingston, Tas 7050, Australia; Univ Tasmania, Dept Primary Ind &amp; Water, Hobart, Tas 7000, Australia</t>
  </si>
  <si>
    <t>University of Tasmania; University of Tasmania; Australian Antarctic Division; Australian Antarctic Division; University of Tasmania</t>
  </si>
  <si>
    <t>Thalmann, S (corresponding author), Univ Tasmania, Inst Antarctic &amp; So Ocean Studies, Private Bag 77, Hobart, Tas 7007, Australia.</t>
  </si>
  <si>
    <t>sam.thalmann@dpiw.tas.gov.au</t>
  </si>
  <si>
    <t>Bond, Alexander L/A-3786-2010; Hindell, Mark A/K-1131-2013</t>
  </si>
  <si>
    <t>Hindell, Mark/0000-0002-7823-7185; Baker, G. Barry/0000-0003-4766-8182</t>
  </si>
  <si>
    <t>COLLINGWOOD</t>
  </si>
  <si>
    <t>150 OXFORD ST, PO BOX 1139, COLLINGWOOD, VICTORIA 3066, AUSTRALIA</t>
  </si>
  <si>
    <t>10.1071/MU07002</t>
  </si>
  <si>
    <t>207TT</t>
  </si>
  <si>
    <t>WOS:000249274700010</t>
  </si>
  <si>
    <t>Robertson, G; Moreno, CA; Lawton, K; Arata, J; Valencia, J; Kirkwood, R</t>
  </si>
  <si>
    <t>Robertson, Graham; Moreno, Carlos A.; Lawton, Kieran; Arata, Javier; Valencia, Jose; Kirkwood, Roger</t>
  </si>
  <si>
    <t>An estimate of the population sizes of Black-browed (Thalassarche melanophrys) and Grey-headed (T. chrysostoma) Albatrosses breeding in the Diego Ramirez Archipelago, Chile</t>
  </si>
  <si>
    <t>SEABIRD MORTALITY; SOUTH GEORGIA; FISHERY; ISLAND</t>
  </si>
  <si>
    <t>The Diego Ramirez Archipelago, Chile, is the southernmost albatross breeding ground in the world and holds globally important numbers of Black-browed (Thalassarche naelanophrys) and Grey-headed (T. chrysostoma) Albatrosses. A census in the Diego Ramirez Archipelago has been attempted only once, in 1980-81, with methods that were unlikely to determine population sizes accurately. The number of breeding pairs of both species was estimated in the incubation period of 2002 using a combination of aerial photography, ground-based photography, yacht-based photography and ground counts. All islands in the archipelago were surveyed. There were an estimated 55 000 pairs of Black-browed and 17 000 pairs of Grey-headed Albatrosses breeding at the archipelago. Based on the results of this census, and those for the other four known breeding locations, the populations of both species of albatrosses in Chile are considerably larger than previously reported, comprising similar to 20% of the Black-browed Albatrosses and 23% of Grey-headed Albatrosses in the world, with the largest populations of both species occurring in the Diego Ramirez Archipelago.</t>
  </si>
  <si>
    <t>Australian Antarctic Div, Kingston, Tas 7050, Australia; Univ Austral Chile, Inst Ecol &amp; Evoloc, Valdivia, Chile; Inst Antarctico Chileno, Punta Arenas, Chile; Philip Isl Nat Pk, Cowes, Vic 3922, Australia</t>
  </si>
  <si>
    <t>Australian Antarctic Division; Universidad Austral de Chile</t>
  </si>
  <si>
    <t>Robertson, G (corresponding author), Australian Antarctic Div, Channel Highway, Kingston, Tas 7050, Australia.</t>
  </si>
  <si>
    <t>graham.robertson@aad.gov.au</t>
  </si>
  <si>
    <t>Arata, Javier/U-9754-2017; Arata, Javier A./ABH-9557-2020; Valencia, Jose/IAO-2562-2023</t>
  </si>
  <si>
    <t>Arata, Javier/0000-0001-7320-0511; Kirkwood, Roger/0000-0003-4221-4050</t>
  </si>
  <si>
    <t>10.1071/MU07028</t>
  </si>
  <si>
    <t>WOS:000249274700011</t>
  </si>
  <si>
    <t>Powell, CDL; Wooller, RD; Bradley, JS</t>
  </si>
  <si>
    <t>Powell, C. D. L.; Wooller, R. D.; Bradley, J. S.</t>
  </si>
  <si>
    <t>Breeding biology of the Flesh-footed Shearwater (Puffinus carneipes) on Woody Island, Western Australia</t>
  </si>
  <si>
    <t>SHORT-TAILED SHEARWATERS; EASTERN AUSTRALIA; ANTARCTIC WATERS; TENUIROSTRIS; PACIFICUS</t>
  </si>
  <si>
    <t>The Flesh-footed Shearwater (Puffinus carneipes) is a pelagic seabird that breeds predominantly around southern Australia and New Zealand. Its breeding biology is poorly known, particularly in Western Australia where the species is known to have suffered mortality during long-line fishing operations. We studied the breeding biology of the Flesh-footed Shearwater on Woody Island, off the southern coast of Western Australia, between 2000 and 2003, from the post-migratory return of adults to the colony until the departure of the last fledglings 7 months later. Shearwaters dug single-tunnelled burrows slightly over 1 m long ( 1050 +/- 16 mm (s.e.)) in soil &gt;350 mm deep, during October, before embarking on an unsynchronised pre-laying exodus through November. Eggs were laid in the last week of November, and incubated over 54 +/- 7 days during December and January, before hatching in mid- to late January. The fledglings left in late April-early May after spending an average 101 +/- 0.9 days in the burrow. A logistic growth model, fitted to weekly measurements of skeletal body components, determined that the head, bill and tarsus grew rapidly during early burrow life, while growth of the wing was slow initially and remained incomplete at fledging. Breeding success was measured as 40% and 53% for two successive seasons, and was greater from burrows on a medium gradient than those on slighter gradients in both seasons. Although baseline data are provided here, longer term studies addressing specific demographic parameters, such as adult survival, juvenile recruitment and fecundity, are needed to assess the population status and guide management actions.</t>
  </si>
  <si>
    <t>Murdoch Univ, Sch Biol &amp; Biotechnol, Murdoch, WA 6150, Australia</t>
  </si>
  <si>
    <t>Murdoch University</t>
  </si>
  <si>
    <t>Powell, CDL (corresponding author), Murdoch Univ, Sch Biol &amp; Biotechnol, Murdoch, WA 6150, Australia.</t>
  </si>
  <si>
    <t>cpowell@agric.wa.gov.au</t>
  </si>
  <si>
    <t>Bond, Alexander L/A-3786-2010</t>
  </si>
  <si>
    <t>10.1071/MU07005</t>
  </si>
  <si>
    <t>238DP</t>
  </si>
  <si>
    <t>WOS:000251427800003</t>
  </si>
  <si>
    <t>Cainey, JM; Keywood, M; Grose, MR; Krummel, P; Galbally, IE; Johnston, P; Gillett, RW; Meyer, M; Fraser, P; Steele, P; Harvey, M; Kreher, K; Stein, T; Ibrahim, O; Ristovski, ZD; Johnson, G; Fletcher, CA; Bigg, EK; Gras, JL</t>
  </si>
  <si>
    <t>Cainey, Jill M.; Keywood, Melita; Grose, Michael R.; Krummel, Paul; Galbally, Ian E.; Johnston, Paul; Gillett, Rob W.; Meyer, Mick; Fraser, Paul; Steele, Paul; Harvey, Mike; Kreher, Karin; Stein, Torsten; Ibrahim, Ossama; Ristovski, Zoran D.; Johnson, Graham; Fletcher, Cathie A.; Bigg, E. Keith; Gras, John L.</t>
  </si>
  <si>
    <t>Precursors to Particles (P2P) at Cape Grim 2006: campaign overview</t>
  </si>
  <si>
    <t>ENVIRONMENTAL CHEMISTRY</t>
  </si>
  <si>
    <t>iodine; kelp; methyl iodide; particle formation</t>
  </si>
  <si>
    <t>MARINE BOUNDARY-LAYER; MACE-HEAD; COASTAL ENVIRONMENT; LAMINARIA-DIGITATA; HO2 CONCENTRATIONS; AEROSOL-PARTICLES; SOUTHERN-OCEAN; CURRENT STATE; IRELAND; AIR</t>
  </si>
  <si>
    <t>Iodine emissions from coastal macroalgae have been found to be important initiators for nucleation events at Mace Head, Ireland. The source of this iodine is the large beds of the brown kelp Laminaria digitata, which are significantly exposed at low tide. On the coast around Cape Grim, Tasmania, there are beds of the brown kelp Durvillaea potatorum. The Precursors to Particles 2006 (P2P 2006) campaign at the Cape Grim Baseline Air Pollution Station in late summer (February) 2006 focused on the role of this local kelp in providing precursor gases to particle formation. Durvillaea potatorum does not produce iodated precursor gases at the levels observed at Mace Head. IO was measured at 0.5 +/- 0.3 ppt, while OIO was below detection limits (9 ppt). The dominant atmospheric iodated species was methyl iodide and the average concentration measured at the Cape Grim Station was 1.5 +/- 0.3 pptv in baseline conditions, but showed significant variation in discrete samples collected immediately above the ocean surface. Nucleation events were not detected at the Cape Grim Station, except for one period where the plume of a local bushfire interacted with air of marine origin. The passage of four fronts did not result in nucleation bursts and measurements on the beach 94 m below the Cape Grim Station suggested that Durvillaea potatorum was only a weak source of new particles.</t>
  </si>
  <si>
    <t>Bur Meteorol, Cape Grim Baseline Air Pollut Stn, Smithton, Tas 7330, Australia; CSIRO Marine &amp; Atmospher Res, Aspendale, Vic 3195, Australia; Univ Tasmania, Inst Antarctic &amp; So Ocean Studies, Hobart, Tas 7001, Australia; Natl Inst Water &amp; Atmospher Res, Lauder, New Zealand; Natl Inst Water &amp; Atmospher Res, Wellington, New Zealand; Heidelberg Univ, Inst Environm Phys, D-69120 Heidelberg, Germany; Queensland Univ Technol, ILAQH, Brisbane, Qld 4001, Australia</t>
  </si>
  <si>
    <t>Bureau of Meteorology - Australia; Commonwealth Scientific &amp; Industrial Research Organisation (CSIRO); University of Tasmania; National Institute of Water &amp; Atmospheric Research (NIWA) - New Zealand; National Institute of Water &amp; Atmospheric Research (NIWA) - New Zealand; Ruprecht Karls University Heidelberg; Queensland University of Technology (QUT)</t>
  </si>
  <si>
    <t>Cainey, JM (corresponding author), Bur Meteorol, Cape Grim Baseline Air Pollut Stn, 159 Nelson St, Smithton, Tas 7330, Australia.</t>
  </si>
  <si>
    <t>j.cainey@bom.gov.au</t>
  </si>
  <si>
    <t>Ristovski, Zoran/AAF-5217-2019; Krummel, Paul B/A-4293-2013; Fraser, Paul J. B./D-1755-2012; Harvey, Mike/A-5354-2010; Grose, Michael/AAV-1119-2021; Ristovski, Zoran D/D-3308-2009; Meyer, Carl P/H-2311-2011; Steele, Paul/B-3185-2009; keywood, melita/C-5139-2011; Johnson, Graham/B-4128-2011; Galbally, Ian/E-5852-2011</t>
  </si>
  <si>
    <t>Ristovski, Zoran/0000-0001-6066-6638; Krummel, Paul B/0000-0002-4884-3678; Harvey, Mike/0000-0002-0979-0227; Ristovski, Zoran D/0000-0001-6066-6638; keywood, melita/0000-0001-9953-6806; Johnson, Graham/0000-0001-6874-0230; Galbally, Ian/0000-0003-2383-1360</t>
  </si>
  <si>
    <t>1448-2517</t>
  </si>
  <si>
    <t>1449-8979</t>
  </si>
  <si>
    <t>ENVIRON CHEM</t>
  </si>
  <si>
    <t>Environ. Chem.</t>
  </si>
  <si>
    <t>10.1071/EN07041</t>
  </si>
  <si>
    <t>Chemistry, Analytical; Environmental Sciences</t>
  </si>
  <si>
    <t>Chemistry; Environmental Sciences &amp; Ecology</t>
  </si>
  <si>
    <t>181KY</t>
  </si>
  <si>
    <t>WOS:000247436800002</t>
  </si>
  <si>
    <t>Grose, MR; Cainey, JM; McMinn, A; Gibson, JAE</t>
  </si>
  <si>
    <t>Grose, Michael R.; Cainey, Jill M.; McMinn, Andrew; Gibson, John A. E.</t>
  </si>
  <si>
    <t>Coastal marine methyl iodide source and links to new particle formation at Cape Grim during February 2006</t>
  </si>
  <si>
    <t>aerosols; biogenic production; halogen compounds; kelp; marine chemistry; methyl iodide</t>
  </si>
  <si>
    <t>BOUNDARY-LAYER; HOMOGENEOUS NUCLEATION; LAMINARIA-DIGITATA; AGAGE OBSERVATIONS; OXIDE; TASMANIA; AUSTRALIA; ATLANTIC; BROMIDE; KELP</t>
  </si>
  <si>
    <t>Methyl iodide concentration in seawater and in the air directly above the sea was measured at an inshore site adjacent to the Cape Grim Baseline Air Pollution Station (Cape Grim BAPS) near a bed of Bull Kelp (Durvillaea potatorum) over daylight cycles and along a transect out to 5 km offshore. Most inshore samples had low and variable methyl iodide concentrations in seawater (14.8-57.7 pM) and in air immediately above the sea (2.1-3.8 parts per trillion by volume), with a partial tidal influence. A period of elevated methyl iodide concentration in the water (144.5 pM) and in air above the sea surface (5.5 pptv) was immediately followed by a measurement of new particles at the Cape Grim BAPS. This correlation provided indirect evidence that emission of methyl iodide from kelp is connected to the new particle formation pathway, but there was no evidence of a direct causal link. Elevated levels of atmospheric methyl iodide were not detected at the station (adjacent to the site but on top of a 94-m cliff) at the same time, which suggests the effect was localised above the sea surface. A rapid decrease of methyl iodide out to 5 km suggested that a source at the coastal reef was greater than from pelagic phytoplankton; this source could be the intertidal kelp beds.</t>
  </si>
  <si>
    <t>Inst Antarctic &amp; So Ocean Studies, Hobart, Tas 7000, Australia; Cape Grim Baseline Air Pollut Stn, Smithton, Tas 7330, Australia</t>
  </si>
  <si>
    <t>Grose, MR (corresponding author), Inst Antarctic &amp; So Ocean Studies, Private Bag 77, Hobart, Tas 7000, Australia.</t>
  </si>
  <si>
    <t>mgrose@utas.edu.au</t>
  </si>
  <si>
    <t>Grose, Michael/AAV-1119-2021; McMinn, Andrew/A-9910-2008</t>
  </si>
  <si>
    <t>10.1071/EN07008</t>
  </si>
  <si>
    <t>WOS:000247436800006</t>
  </si>
  <si>
    <t>Wolff, EW; Hutterli, MA; Jones, AE</t>
  </si>
  <si>
    <t>Wolff, Eric W.; Hutterli, Manuel A.; Jones, Anna E.</t>
  </si>
  <si>
    <t>Past atmospheric composition and chemistry from ice cores - progress and prospects</t>
  </si>
  <si>
    <t>antarctic; Arctic; ice cores; paleoclimate</t>
  </si>
  <si>
    <t>ANTARCTIC ICE; RECORD; GREENLAND; EMISSIONS; CLIMATE; METHANE; FORMALDEHYDE; NITRATE; SNOW; AIR</t>
  </si>
  <si>
    <t>Ice cores provide the most direct evidence available about the past atmosphere. For long-lived trace gases, ice cores have provided clear evidence that in the last two centuries, concentrations of several greenhouse gases have risen well outside the natural range observed in the previous 650 000 years. Major natural changes are also observed between cold and warm periods. Aerosol components have to be interpreted in terms of changing sources, transport and deposition. When this is done, they can also supply evidence about crucial aspects of the past environment, including sea ice extent, trace element deposition to the ocean, and about the aerosols available for cloud nucleation, for example. It is much more difficult to extract information about shorter-lived chemical species. Information may be available in components such as nitrate and formaldehyde, but to extract that information, detailed modern atmospheric studies about air to snow transfer, preservation in the ice, and the link between the polar region boundary layer and other parts of the atmosphere are urgently required.</t>
  </si>
  <si>
    <t>Wolff, EW (corresponding author), British Antarctic Survey, High Cross,Madingley Rd, Cambridge CB3 0ET, England.</t>
  </si>
  <si>
    <t>ewwo@bas.ac.uk</t>
  </si>
  <si>
    <t>Wolff, Eric W/D-7925-2014</t>
  </si>
  <si>
    <t>Wolff, Eric W/0000-0002-5914-8531</t>
  </si>
  <si>
    <t>10.1071/EN07031</t>
  </si>
  <si>
    <t>200XP</t>
  </si>
  <si>
    <t>WOS:000248796400001</t>
  </si>
  <si>
    <t>Ayers, GP; Cainey, JM</t>
  </si>
  <si>
    <t>Ayers, Greg P.; Cainey, Jill M.</t>
  </si>
  <si>
    <t>The CLAW hypothesis: a review of the major developments</t>
  </si>
  <si>
    <t>MARINE BOUNDARY-LAYER; CLOUD CONDENSATION NUCLEI; SHORT-TERM VARIABILITY; SEA-SALT SULFATE; ATMOSPHERIC SULFUR-DIOXIDE; ANTARCTIC SOUTHERN-OCEAN; EXPERIMENT ACE 1; DIMETHYL SULFIDE; SEASONAL-VARIATION; AMSTERDAM ISLAND</t>
  </si>
  <si>
    <t>The CLAW hypothesis has for 20 years provided the intriguing prospect of oceanic and atmospheric systems exhibiting in an intimately coupled way a capacity to react to changing climate in a manner that opposes the change. A great number of quality scientific papers has resulted, many confirming details of specific links between oceanic phytoplankton and dimethylsulfide ( DMS) emission to the atmosphere, the importance of DMS oxidation products in regulation of marine atmospheric cloud condensation nucleus ( CCN) populations, and a concomitant influence on marine stratocumulus cloud properties. However, despite various links in the proposed phytoplankton-DMS-CCN-cloud albedo climate feedback loop being affirmed, there has been no overall scientific synthesis capable of adequately testing the hypothesis at a global scale. Moreover, significant gaps and contradictions remain, such as a lack of quantitative understanding of new particle formation processes in the marine atmospheric boundary layer, and of the extent to which dynamical, rather than microphysical, cloud feedbacks exist. Nevertheless, considerable progress has been made in understanding 'Earth System Science' involving the integration of ocean and atmospheric systems inherent in the CLAW hypothesis. We present here a short review of this progress since the publication of the CLAW hypothesis.</t>
  </si>
  <si>
    <t>Cape Grim Baseline Air Pollut Stn, Bur Meteorol, Smithton, Tas 7330, Australia; CSIRO, Marine &amp; Atmospher Res, Mordialloc, Vic 3195, Australia</t>
  </si>
  <si>
    <t>Bureau of Meteorology - Australia; Commonwealth Scientific &amp; Industrial Research Organisation (CSIRO)</t>
  </si>
  <si>
    <t>Cainey, JM (corresponding author), Cape Grim Baseline Air Pollut Stn, Bur Meteorol, Smithton, Tas 7330, Australia.</t>
  </si>
  <si>
    <t>10.1071/EN07080</t>
  </si>
  <si>
    <t>238AA</t>
  </si>
  <si>
    <t>WOS:000251417700002</t>
  </si>
  <si>
    <t>Roeselers, G; Norris, TB; Castenholz, RW; Rysgaard, S; Glud, RN; Kühl, M; Muyzer, G</t>
  </si>
  <si>
    <t>Roeselers, Guus; Norris, Tracy B.; Castenholz, Richard W.; Rysgaard, Soren; Glud, Ronnie N.; Kuhl, Michael; Muyzer, Gerard</t>
  </si>
  <si>
    <t>Diversity of phototrophic bacteria in microbial mats from Arctic hot springs (Greenland)</t>
  </si>
  <si>
    <t>ENVIRONMENTAL MICROBIOLOGY</t>
  </si>
  <si>
    <t>GRADIENT GEL-ELECTROPHORESIS; ANTARCTIC LAKE ICE; MOLECULAR APPROACH; CYANOBACTERIA; CHLOROFLEXUS; COMMUNITIES; TEMPERATURE; POPULATIONS; RADIATION; SULFIDE</t>
  </si>
  <si>
    <t>We investigated the genotypic diversity of oxygenic and anoxygenic phototrophic microorganisms in microbial mat samples collected from three hot spring localities on the east coast of Greenland. These hot springs harbour unique Arctic microbial ecosystems that have never been studied in detail before. Specific oligonucleotide primers for cyanobacteria, purple sulfur bacteria, green sulfur bacteria and Choroflexus/Roseiflexus-like green non-sulfur bacteria were used for the selective amplification of 16S rRNA gene fragments. Amplification products were separated by denaturing gradient gel electrophoresis (DGGE) and sequenced. In addition, several cyanobacteria were isolated from the mat samples, and classified morphologically and by 16S rRNA-based methods. The cyanobacterial 16S rRNA sequences obtained from DGGE represented a diverse, polyphyletic collection of cyanobacteria. The microbial mat communities were dominated by heterocystous and non-heterocystous filamentous cyanobacteria. Our results indicate that the cyanobacterial community composition in the samples were different for each sampling site. Different layers of the same heterogeneous mat often contained distinct and different communities of cyanobacteria. We observed a relationship between the cyanobacterial community composition and the in situ temperatures of different mat parts. The Greenland mats exhibited a low diversity of anoxygenic phototrophs as compared with other hot spring mats which is possibly related to the photochemical conditions within the mats resulting from the Arctic light regime.</t>
  </si>
  <si>
    <t>Delft Univ Technol, Dept Biotechnol, NL-2628 BC Delft, Netherlands; Univ Oregon, Ctr Ecol &amp; Evolutionary Biol, Eugene, OR 97403 USA; Greenland Inst Nat Resources, DK-3900 Nuuk, Greenland, Denmark; Univ Copenhagen, Marine Biol Lab, Inst Biol, DK-3000 Helsingor, Denmark</t>
  </si>
  <si>
    <t>Delft University of Technology; University of Oregon; Greenland Institute of Natural Resources; University of Copenhagen</t>
  </si>
  <si>
    <t>Muyzer, G (corresponding author), Delft Univ Technol, Dept Biotechnol, Julianalaan 67, NL-2628 BC Delft, Netherlands.</t>
  </si>
  <si>
    <t>g.muijzer@tudelft.nl</t>
  </si>
  <si>
    <t>Muyzer, Gerard/A-3161-2013; Kühl, Michael/A-1977-2009; Rysgaard, Søren/K-6689-2013; Muyzer, Gerard/ABE-5834-2020; Roeselers, Guus/J-2971-2012</t>
  </si>
  <si>
    <t>Muyzer, Gerard/0000-0002-2422-0732; Kühl, Michael/0000-0002-1792-4790; Muyzer, Gerard/0000-0002-2422-0732; Roeselers, Guus/0000-0002-4725-6105; Rysgaard, Soren/0000-0003-1726-2958; Glud, Ronnie N./0000-0002-7069-893X</t>
  </si>
  <si>
    <t>1462-2912</t>
  </si>
  <si>
    <t>1462-2920</t>
  </si>
  <si>
    <t>ENVIRON MICROBIOL</t>
  </si>
  <si>
    <t>Environ. Microbiol.</t>
  </si>
  <si>
    <t>10.1111/j.1462-2920.2006.01103.x</t>
  </si>
  <si>
    <t>Microbiology</t>
  </si>
  <si>
    <t>123KN</t>
  </si>
  <si>
    <t>WOS:000243294900012</t>
  </si>
  <si>
    <t>Gast, RJ; Moran, DM; Dennett, MR; Caron, DA</t>
  </si>
  <si>
    <t>Gast, Rebecca J.; Moran, Dawn M.; Dennett, Mark R.; Caron, David A.</t>
  </si>
  <si>
    <t>Kleptoplasty in an Antarctic dinoflagellate: caught in evolutionary transition?</t>
  </si>
  <si>
    <t>GYMNODINIUM-ACIDOTUM DINOPHYCEAE; FINE-STRUCTURE; ROSS SEA; CHLOROPLAST; ORIGIN; PLASTIDS; PHYLOGENY; RETENTION</t>
  </si>
  <si>
    <t>Photosynthetic dinoflagellates contain a diverse collection of plastid types, a situation believed to have arisen from multiple endosymbiotic events. In addition, a number of heterotrophic (phagotrophic) dinoflagellates possess the ability to acquire chloroplasts temporarily by engulfing algae and retaining their chloroplasts in a functional state. These latter relationships typically last from a few days to weeks, at which point the chloroplasts lose function, are digested and replaced with newly acquired plastids. A novel and abundant dinoflagellate related to the icthyotoxic genera Karenia and Karlodinium was recently discovered by us in the Ross Sea, Antarctica. Sequencing of its plastid small subunit ribosomal gene indicated that it did not share evolutionary history with the plastids of Karenia or Karlodinium, but was closely related to the free-living haptophyte Phaeocystis antarctica, a species that often dominates phytoplankton blooms in the Ross Sea. Chloroplast uptake was observed to occur rapidly (within 2 days), with retention in cultures being long-lived (several months) but not permanent. The dinoflagellate was also incapable of growing indefinitely in continuous darkness with algae as prey. Our findings may indicate an emerging endosymbiotic event yielding a dinoflagellate that is presently neither purely phototrophic nor purely heterotrophic, but occupies a niche juxtaposed between these contrasting nutritional modes.</t>
  </si>
  <si>
    <t>Woods Hole Oceanog Inst, Dept Biol, Woods Hole, MA 02543 USA; Univ So Calif, Dept Biol Sci, Los Angeles, CA 90089 USA</t>
  </si>
  <si>
    <t>Woods Hole Oceanographic Institution; University of Southern California</t>
  </si>
  <si>
    <t>Gast, RJ (corresponding author), Woods Hole Oceanog Inst, Dept Biol, Woods Hole, MA 02543 USA.</t>
  </si>
  <si>
    <t>rgast@whoi.edu</t>
  </si>
  <si>
    <t>Gast, Rebecca J/0000-0003-3875-3975</t>
  </si>
  <si>
    <t>WILEY-BLACKWELL PUBLISHING, INC</t>
  </si>
  <si>
    <t>MALDEN</t>
  </si>
  <si>
    <t>COMMERCE PLACE, 350 MAIN ST, MALDEN 02148, MA USA</t>
  </si>
  <si>
    <t>10.1111/j.1462-2920.2006.01109.x</t>
  </si>
  <si>
    <t>WOS:000243294900013</t>
  </si>
  <si>
    <t>Säwström, C; Granéli, W; Laybourn-Parry, J; Anesio, AM</t>
  </si>
  <si>
    <t>Sawstrom, Christin; Graneli, Wilhelm; Laybourn-Parry, Johanna; Anesio, Alexandre M.</t>
  </si>
  <si>
    <t>High viral infection rates in Antarctic and Arctic bacterioplankton</t>
  </si>
  <si>
    <t>FRESH-WATER; BACTERIAL PRODUCTION; CRYOCONITE HOLES; VIRUSES; PLANKTON; MORTALITY; DYNAMICS; GROWTH; LAKE; BACTERIOPHAGES</t>
  </si>
  <si>
    <t>The frequency of visibly phage-infected bacterial cells (FVIB) and the average number of phages per cell [i.e. burst size (BS)] were determined in Antarctic and Arctic ultra-oligotrophic freshwater environments. Water samples were collected from two Antarctic freshwater lakes and cryoconite holes from a glacier in the Arctic. Data from this bipolar study show the highest FVIB (average 26.1%, range 5.1% to 66.7%) and the lowest BS (average 4, range 2-15) ever reported in the literature. The bacterial density is low in these ultra-oligotrophic freshwater environments but a large proportion of the bacteria are visibly infected. Our results suggest that a constant virioplankton population can be maintained in these extreme environments even though host density is low and often slow growing.</t>
  </si>
  <si>
    <t>Umea Univ, Dept Ecol &amp; Environm Sci, CIRC, SE-90187 Umea, Sweden; Lund Univ, Dept Limnol, S-22362 Lund, Sweden; Univ Keele, Inst Environm Phys Sci &amp; Appl Math, Keele ST5 5BG, Staffs, England; Univ Wales, Inst Biol Sci, Aberystwyth SY23 3DA, Dyfed, Wales</t>
  </si>
  <si>
    <t>Umea University; Lund University; Keele University; Aberystwyth University</t>
  </si>
  <si>
    <t>Säwström, C (corresponding author), Umea Univ, Dept Ecol &amp; Environm Sci, CIRC, SE-90187 Umea, Sweden.</t>
  </si>
  <si>
    <t>christin.sawstrom@emg.umu.se</t>
  </si>
  <si>
    <t>Anesio, Alexandre/A-7597-2008; Sawstrom, Christin/F-5462-2018</t>
  </si>
  <si>
    <t>Anesio, Alexandre/0000-0003-2990-4014; Sawstrom, Christin/0000-0001-9297-3093</t>
  </si>
  <si>
    <t>10.1111/j.1462-2920.2006.01135.x</t>
  </si>
  <si>
    <t>WOS:000243294900032</t>
  </si>
  <si>
    <t>Ferroni, L; Baldisserotto, C; Zennaro, V; Soldani, C; Fasulo, MP; Pancaldi, S</t>
  </si>
  <si>
    <t>Ferroni, Lorenzo; Baldisserotto, Costanza; Zennaro, Valentina; Soldani, Cristiana; Fasulo, Maria Palmira; Pancaldi, Simonetta</t>
  </si>
  <si>
    <t>Acclimation to darkness in the marine chlorophyte Koliella antarctica cultured under low salinity:: hypotheses on its origin in the polar environment</t>
  </si>
  <si>
    <t>EUROPEAN JOURNAL OF PHYCOLOGY</t>
  </si>
  <si>
    <t>Antarctica; chloroplast; darkness; Koliella antarctica; mitochondrion; nucleus; photosystem II (PSII); programmed cell death; salinity</t>
  </si>
  <si>
    <t>PROGRAMMED CELL-DEATH; EUGLENA-GRACILIS KLEBS; SEA-ICE DIATOMS; PHOTOSYSTEM-II; PLANT-LEAVES; DUNALIELLA-TERTIOLECTA; APOPTOTIC CELLS; LIGHT; FLUORESCENCE; SURVIVAL</t>
  </si>
  <si>
    <t>In order to obtain new insights on the origin and physiology of the marine chlorophyte Koliella antarctica, the response of the microalga was studied at a salinity of 0.2 in the light and during a 60-day dark period. In light conditions, the alga grows and maintains a functional cell organization. In darkness, the chloroplast-to-chromoplast transition, previously described during dark-acclimation in K. antarctica under a salinity of 34 was only partially triggered; thylakoid lamellae became re-organized into short bundles, but storage substructures were almost completely missing. Microspectrofluorometry, pigment analyses, and morphological observations revealed dark-induced degradation of photosystem II (PSII) with relative stability in the light-harvesting complex (LHCII). Chromatin condensation, mitochondrion fragmentation and material digestion in vacuoles were similar to morphological hallmarks of programmed cell death (PCD), but only 30% of cells underwent cell death and, at the end of the experiment, only 1-2% of cells were TUNEL-positive. Rapid recovery in culture growth after exposure to light showed that the changes apparent in the rest of cells were reversible. Taking into account the response of the plastid and assuming an adaptive benefit of PCD, our results are consistent with the hypothesis that K. antarctica evolved from an Antarctic freshwater ancestor.</t>
  </si>
  <si>
    <t>Univ Ferrara, Dept Nat &amp; Cultural Resources, Lab Plant Cytophysiol, I-44100 Ferrara, Italy; Univ Pavia, Dipartimento Biol Anim, Lab Biol Cellulare &amp; Neurobiol, I-27100 Pavia, Italy</t>
  </si>
  <si>
    <t>University of Ferrara; University of Pavia</t>
  </si>
  <si>
    <t>Fasulo, MP (corresponding author), Univ Ferrara, Dept Nat &amp; Cultural Resources, Lab Plant Cytophysiol, Corso Ercole 1 Este 32, I-44100 Ferrara, Italy.</t>
  </si>
  <si>
    <t>fsm@unife.it</t>
  </si>
  <si>
    <t>Ferroni, Lorenzo/AAA-5135-2021; Ferroni, Lorenzo/AAW-9342-2020; Soldani, Cristiana/C-2401-2008</t>
  </si>
  <si>
    <t>Ferroni, Lorenzo/0000-0002-5694-2078; Soldani, Cristiana/0000-0001-5041-9588; BALDISSEROTTO, Costanza/0000-0002-8710-558X; Pancaldi, Simonetta/0000-0002-2077-3268</t>
  </si>
  <si>
    <t>TAYLOR &amp; FRANCIS LTD</t>
  </si>
  <si>
    <t>ABINGDON</t>
  </si>
  <si>
    <t>2-4 PARK SQUARE, MILTON PARK, ABINGDON OR14 4RN, OXON, ENGLAND</t>
  </si>
  <si>
    <t>0967-0262</t>
  </si>
  <si>
    <t>1469-4433</t>
  </si>
  <si>
    <t>EUR J PHYCOL</t>
  </si>
  <si>
    <t>Eur. J. Phycol.</t>
  </si>
  <si>
    <t>10.1080/09670260600960850</t>
  </si>
  <si>
    <t>Plant Sciences; Marine &amp; Freshwater Biology</t>
  </si>
  <si>
    <t>150TO</t>
  </si>
  <si>
    <t>WOS:000245242200007</t>
  </si>
  <si>
    <t>Figueroa, FL; Korbee, N; De Clerck, O; Bárbara, I; Gall, EAR</t>
  </si>
  <si>
    <t>Figueroa, Felix L.; Korbee, Nathalie; De Clerck, Olivier; Barbara, Ignacio; Gall, Erwan A. R.</t>
  </si>
  <si>
    <t>Characterization of Grateloupia lanceola (Halymeniales, Rhodophyta), an obscure foliose Grateloupia from the Iberian Peninsula, based on morphology, comparative sequence analysis and mycosporine-like amino acid composition</t>
  </si>
  <si>
    <t>Grateloupia; LSU rDNA; morphology; MAA; mycosporine; like amino acids; rbcL</t>
  </si>
  <si>
    <t>DORYPHORA HALYMENIACEAE; ANTARCTIC MACROALGAE; ACCUMULATION; REINSTATEMENT; SUBSTANCES; BANGIALES; NETWORKS; AMMONIUM; MODEL; TREES</t>
  </si>
  <si>
    <t>Foliose Grateloupia species are among the most commonly reported introduced species of red algae in European waters. Unequivocal identification at species level, however, has proven exceedingly difficult owing to a relatively low number of clear-cut diagnostic characters and considerable morphological plasticity. Because of their morphological similarity many of these species were placed in synonymy by subsequent generations of phycologists. In the present paper we demonstrate that Gratelopia lanceola, a native European species, is distinct from G. turuturu, a western Pacific alga introduced in European waters. These conclusions are based on comparative gene sequences ( rbcL and LSU rDNA) as well as morphology and mycosporine-like amino acid (MAA) signatures. Even though support was largely lacking from rbcL and the combined analysis, G. lanceola was clearly separated from G. turuturu as well as other foliose species. These data, together with earlier accounts on genuine G. doryphora and G. schizophylla, indicate that foliose Grateloupia species display a clear geographic structuring, which has only become obscured by the recent introduction of morphologically similar species ( pseudo-cryptic species) along Atlantic coasts and in the Mediterranean Sea. Grateloupia lanceola also showed a different MAA composition when compared with G. turuturu, regardless of spatial-temporal influences. The concentrations were about 3mg g(-1) DW and about 5mg g(-1) DW in G. turuturu and G. lanceola, respectively. The main MAA in Grateloupia lanceola was porphyra-334, which represented almost 100% of these compounds. Only some traces (&lt; 1%) of shinorine and palythine were found in this species. On the other hand, the dominant MAA in G. turuturu was shinorine, which represented approximately 92% of the total MAA content; palythine contributed about 7.5% while traces of asterina-330 were also found.</t>
  </si>
  <si>
    <t>Univ Malaga, Dept Ecol, Fac Sci, Res Grp Photobiol &amp; Biotechnol Algae, Malaga 29071, Spain; Univ Ghent, Dept Biol, Res Grp Phycol, B-9000 Ghent, Belgium; Univ Ghent, Dept Biol, Ctr Mol Phylogenet &amp; Evolut, B-9000 Ghent, Belgium; Univ Courna, Fac Ciencias, Area Bot, E-15071 A Coruna, Spain; Univ Western Brittany, LEBHAM, IUEM, F-29280 Plouzane, France</t>
  </si>
  <si>
    <t>Universidad de Malaga; Ghent University; Ghent University; Universidade da Coruna; Universite de Bretagne Occidentale; Institut Universitaire Europeen de la Mer (IUEM)</t>
  </si>
  <si>
    <t>Korbee, N (corresponding author), Univ Malaga, Dept Ecol, Fac Sci, Res Grp Photobiol &amp; Biotechnol Algae, Campus Univ Teatinos S-N, Malaga 29071, Spain.</t>
  </si>
  <si>
    <t>nkorbee@uma.es</t>
  </si>
  <si>
    <t>De Clerck, Olivier/A-9083-2010; De Clerck, Olivier/AAU-4295-2020; Korbee Peinado, Nathalie/K-5995-2014; Lopez Figueroa, Felix Diego/K-7720-2014</t>
  </si>
  <si>
    <t>De Clerck, Olivier/0000-0002-3699-8402; Korbee Peinado, Nathalie/0000-0002-9780-4915; Lopez Figueroa, Felix Diego/0000-0003-3580-4693; Barbara, Ignacio/0000-0003-1779-0224</t>
  </si>
  <si>
    <t>10.1080/09670260701327702</t>
  </si>
  <si>
    <t>214QQ</t>
  </si>
  <si>
    <t>WOS:000249753600002</t>
  </si>
  <si>
    <t>Webster, NS; Bourne, D</t>
  </si>
  <si>
    <t>Webster, Nicole S.; Bourne, David</t>
  </si>
  <si>
    <t>Bacterial community structure associated with the Antarctic soft coral, Alcyonium antarcticum</t>
  </si>
  <si>
    <t>FEMS MICROBIOLOGY ECOLOGY</t>
  </si>
  <si>
    <t>soft coral; Antarctica; marine bacteria; bacterial diversity</t>
  </si>
  <si>
    <t>BLACK-BAND-DISEASE; IN-SITU DETECTION; FIXATION ACETYLENE-REDUCTION; SULFATE-REDUCING BACTERIA; GRAM-POSITIVE BACTERIA; WINTER QUARTERS BAY; MICROBIAL COMMUNITY; MCMURDO-STATION; BEDFORD HARBOR; DIVERSITY</t>
  </si>
  <si>
    <t>The structure and composition of microbial communities inhabiting the soft coral Alcyonium antarcticum were investigated across three differentially contaminated sites within McMurdo Sound, Antarctica. Diverse microbial communities were revealed at all sites using culture-based analysis, denaturing gradient gel electrophoresis (DGGE), 16S rRNA gene clone-library analysis, and FISH. Phylogenetic analysis of isolates and retrieved sequences demonstrated close affiliation with known psychrophiles from the Antarctic environment and high similarity to Gammaproteobacteria clades of sponge-associated microorganisms. The majority of bacteria detected with all techniques reside within the Gammaproteobacteria, although other phylogenetic groups including Alpha- and Betaproteobacteria, Bacteroidetes, Firmicutes, Actinomycetales, Planctomycetes, and Chlorobi and bacteria from the functional group of sulfate-reducing bacteria were also present. Multivariate (nMDS) analysis of DGGE banding patterns and principal component analysis of quantitative FISH data revealed no distinct differences in community composition between differentially contaminated sites. Rather, conserved coral-associated bacterial groups were observed within and between sites, providing evidence to support specific coral-microbial interactions. This is the first investigation of microbial communities associated with Antarctic soft corals, and the results suggest that spatially stable microbial associations exist across an environmental impact gradient.</t>
  </si>
  <si>
    <t>Australian Inst Marine Sci, Townsville, Qld 4810, Australia; Univ Canterbury, Dept Biol Sci, Christchurch 1, New Zealand</t>
  </si>
  <si>
    <t>Australian Institute of Marine Science; University of Canterbury</t>
  </si>
  <si>
    <t>Webster, NS (corresponding author), Australian Inst Marine Sci, PMB 3, Townsville, Qld 4810, Australia.</t>
  </si>
  <si>
    <t>n.webster@aims.gov.au</t>
  </si>
  <si>
    <t>Bourne, David G/B-5073-2008; Webster, Nicole/G-4980-2011</t>
  </si>
  <si>
    <t>Webster, Nicole/0000-0002-4753-5278</t>
  </si>
  <si>
    <t>OXFORD UNIV PRESS</t>
  </si>
  <si>
    <t>GREAT CLARENDON ST, OXFORD OX2 6DP, ENGLAND</t>
  </si>
  <si>
    <t>0168-6496</t>
  </si>
  <si>
    <t>1574-6941</t>
  </si>
  <si>
    <t>FEMS MICROBIOL ECOL</t>
  </si>
  <si>
    <t>FEMS Microbiol. Ecol.</t>
  </si>
  <si>
    <t>10.1111/j.1574-6941.2006.00195.x</t>
  </si>
  <si>
    <t>116EG</t>
  </si>
  <si>
    <t>WOS:000242784700009</t>
  </si>
  <si>
    <t>Popescu, P; Paraschiv, P; Popescu, R; Dutnitrescu, A; Bocsa, G; Badescu, O; Nedelcu, A; Bot, A; Cosma, V; Negoite, T; Cotta, M</t>
  </si>
  <si>
    <t>Dumitrache, C; Popescu, NA; Suran, MD; Mioc, V</t>
  </si>
  <si>
    <t>Popescu, P.; Paraschiv, P.; Popescu, R.; Dutnitrescu, A.; Bocsa, G.; Badescu, O.; Nedelcu, A.; Bot, A.; Cosma, V.; Negoite, T.; Cotta, M.</t>
  </si>
  <si>
    <t>Romanian remote control telescope in Low Racovita Antarctic basea</t>
  </si>
  <si>
    <t>FIFTY YEARS OF ROMANIAN ASTROPHYSICS</t>
  </si>
  <si>
    <t>International Conference on Fifty Years of Romanian Astrophysics</t>
  </si>
  <si>
    <t>SEP 27-30, 2006</t>
  </si>
  <si>
    <t>Bucharest, ROMANIA</t>
  </si>
  <si>
    <t>astronomical instruments; astrometry; polar researches</t>
  </si>
  <si>
    <t>Researches, financed by Romanian Ministry of Education and Research, were initiated in 2005, having as final goal the installing of a robotic telescope in Australian Romanian Antarctic Base, Low-Racovita. This research will be included in the plans for the International Polar Year, 2008 being the final term of mounting the telescope. The project involves three institutes and contains specific research parts concerning astroclimate conditions, building, testing and installing the telescope, astronomical observations, data storage and communications.</t>
  </si>
  <si>
    <t>[Popescu, P.; Paraschiv, P.; Popescu, R.; Dutnitrescu, A.; Bocsa, G.; Badescu, O.; Nedelcu, A.] Romanian Acad, Astron Inst, 5 Cutitul Argint, RO-040557 Bucharest, Romania; [Bot, A.; Cosma, V.] Natl Inst Res &amp; Dev, Mass Spectrometry &amp; Chromatog Dept, Cluj Napoca RO-400293, Romania; [Negoite, T.; Cotta, M.] Romanian Polar Res Inst, Bucharest, Romania</t>
  </si>
  <si>
    <t>Romanian Academy of Sciences; Astronomical Institute of Romanian Academy; National Institute for Research &amp; Development of Isotopic &amp; Molecular Technologies Cluj-Napoca</t>
  </si>
  <si>
    <t>Popescu, P (corresponding author), Romanian Acad, Astron Inst, 5 Cutitul Argint, RO-040557 Bucharest, Romania.</t>
  </si>
  <si>
    <t>petre@aira.astro.ro; abot@s6.itim-cj.no; negoita.antarctic@yahoo.com</t>
  </si>
  <si>
    <t>Badescu, Octavian/B-3210-2011; Paraschiv, Petre/AAF-8238-2020</t>
  </si>
  <si>
    <t>Paraschiv, Petre/0000-0002-3495-8941; Badescu, Octavian/0000-0002-9147-4361</t>
  </si>
  <si>
    <t>978-0-7354-0400-7</t>
  </si>
  <si>
    <t>Astronomy &amp; Astrophysics; Physics, Multidisciplinary</t>
  </si>
  <si>
    <t>Astronomy &amp; Astrophysics; Physics</t>
  </si>
  <si>
    <t>BGC75</t>
  </si>
  <si>
    <t>WOS:000246061300030</t>
  </si>
  <si>
    <t>Sklenár, P; Balslev, H</t>
  </si>
  <si>
    <t>Sklenar, Petr; Balslev, Henrik</t>
  </si>
  <si>
    <t>Geographic flora elements in the Ecuadorian superparamo</t>
  </si>
  <si>
    <t>FLORA</t>
  </si>
  <si>
    <t>altitudinal flora samples; Andes; humidity Paramo types; phytogeography; tropical alpine</t>
  </si>
  <si>
    <t>SPECIES-DIVERSITY; CHLOROPLAST; ASTERACEAE; PHYLOGENY; PATTERNS; ORIGINS; NUCLEAR; DIVERSIFICATION; BIOGEOGRAPHY; GENTIANACEAE</t>
  </si>
  <si>
    <t>The superparamo is an island-like ecosystem located on the highest mountain-tops in the equatorial Andes and its flora is composed of genera that are distributed in both tropical and temperate areas. We were interested in studying: (1) whether the proportions of tropical and temperate genera change along the altitudinal gradient of the superparamo and (2) whether the proportions of tropical and temperate genera correlate to ecological conditions (dry vs. humid) of the superparamo. We studied the generic composition in 18 isolated superparamo sites of Ecuador and analyzed the proportions of eight geographic flora elements in: (1) the entire superparamo flora, (2) eight altitudinal superparamo flora samples between 4100 and 4800m, and (3) the superparamo flora samples divided into three humidity types, i.e., dry, humid, and very humid superparamos. Of the total of 144 genera encountered, more than a half are predominantly distributed in temperate regions whereas about 2 are predominantly distributed in tropical regions and only 2% are endemic to the paramo. When distinguishing only tropical and temperate genera their numbers along the altitudinal gradient do not depart from the expected values based on the entire superparamo flora. But when breaking the temperate and tropical genera down into their constituent geographic flora elements, significant departure from the expected values is found above 4500 in altitude, which corresponds to a transition zone between the lower and upper superparamo. Genera from the Wide temperate, Holaretic, and Andean alpine elements significantly increase along the altitudinal gradient whereas Neotropical montane, Austral-Antarctic, Paramo endemic, and Cosmopolitan elements significantly decline with altitude, and the proportion of genera from the Wide tropical element do not show correlation to altitude. Tropical genera are better represented in humid superparamo types and temperate genera are more common in dry superparamo type. Although the proportion of elements differs among dry, humid, and very humid superparamo sites, their composition does not depart significantly from that in the entire superparamo flora. We conclude that ecological predispositions of genera from their implied areas of origin predict their distribution within and among equatorial superparamo. (c) 2006 Elsevier GmbH. All rights reserved.</t>
  </si>
  <si>
    <t>Charles Univ Prague, Dept Bot, Prague 12801, Czech Republic; Aarhus Univ, Dept Biol, DK-8000 Aarhus C, Denmark</t>
  </si>
  <si>
    <t>Charles University Prague; Aarhus University</t>
  </si>
  <si>
    <t>Sklenár, P (corresponding author), Charles Univ Prague, Dept Bot, Benatska 2, Prague 12801, Czech Republic.</t>
  </si>
  <si>
    <t>petr@natur.cuni.cz; henrik.balslev@biology.au.dk</t>
  </si>
  <si>
    <t>Sklenář, Petr/IYS-5753-2023; Balslev, Hendrik/AAE-4071-2020</t>
  </si>
  <si>
    <t>Sklenář, Petr/0000-0003-0429-2621;</t>
  </si>
  <si>
    <t>ELSEVIER GMBH</t>
  </si>
  <si>
    <t>MUNICH</t>
  </si>
  <si>
    <t>HACKERBRUCKE 6, 80335 MUNICH, GERMANY</t>
  </si>
  <si>
    <t>0367-2530</t>
  </si>
  <si>
    <t>1618-0585</t>
  </si>
  <si>
    <t>Flora</t>
  </si>
  <si>
    <t>10.1016/j.flora.2006.03.002</t>
  </si>
  <si>
    <t>Plant Sciences; Ecology</t>
  </si>
  <si>
    <t>Plant Sciences; Environmental Sciences &amp; Ecology</t>
  </si>
  <si>
    <t>136TU</t>
  </si>
  <si>
    <t>WOS:000244247800003</t>
  </si>
  <si>
    <t>Sancho, LG; Green, TGA; Pintadoa, A</t>
  </si>
  <si>
    <t>Sancho, Leopoldo G.; Green, T. G. Allan; Pintadoa, Ana</t>
  </si>
  <si>
    <t>Slowest to fastest: Extreme range in lichen growth rates supports their use as an indicator of climate change in Antarctica</t>
  </si>
  <si>
    <t>lichenometry; biomonitoring; rhizocarpon; buellia; cape hallett; dry valleys</t>
  </si>
  <si>
    <t>TERRESTRIAL ECOSYSTEM RESPONSE; RHIZOCARPON-GEOGRAPHICUM; CONTINENTAL ANTARCTICA; NEW-ZEALAND; VASCULAR PLANTS; CURVE; MORAINES; HABITAT; WATER; AREA</t>
  </si>
  <si>
    <t>Global temperature rise is suggested to be greater and more rapid in polar regions. There has been a clear temperature rise of 0.056 degrees C y(-1) in the Antarctic Peninsula and this has led to changes in higher plant extent and range. In the more extreme environments of the main continent the vegetation is scattered and composed of lichens and mosses. There is interest in the possible effects of global climate change on these communities acting through changes in temperature and precipitation. Lichens have been extensively used to date the substrates on which they are growing using the techniques of lichenometry. The slow growth and longevity of lichens particularly suites them for this use. We present evidence that there appears to be a substantial (two orders of magnitude) cline in lichen growth rate from the warmer, wetter and more productive Peninsula to the cold Dry Valleys at 77 degrees S latitude. The differences in growth rate reflect the precipitation and temperature regimes at the different sites. The large range in growth rates coupled with the simplicity of measuring lichen growth using modern techniques suggests that this could be an excellent tool for the detection of climate change in continental Antarctica. (C) 2007 Elsevier GmbH. All rights reserved.</t>
  </si>
  <si>
    <t>Univ Complutense Madrid, Fac Farm, Dept Biol Vegetal 2, E-28040 Madrid, Spain; Univ Waikato, Hamilton, New Zealand</t>
  </si>
  <si>
    <t>Complutense University of Madrid; University of Waikato</t>
  </si>
  <si>
    <t>Sancho, LG (corresponding author), Univ Complutense Madrid, Fac Farm, Dept Biol Vegetal 2, E-28040 Madrid, Spain.</t>
  </si>
  <si>
    <t>sancholg@farm.ucm.es; greentga@waikato.ac.nz; apintado@farm.ucm.es</t>
  </si>
  <si>
    <t>Sancho, leopoldo G./H-2974-2013; SANCHO, LEOPOLDO/G-9120-2015</t>
  </si>
  <si>
    <t>SANCHO, LEOPOLDO/0000-0002-4751-7475; PINTADO, ANA/0000-0003-3007-1486</t>
  </si>
  <si>
    <t>ELSEVIER GMBH, URBAN &amp; FISCHER VERLAG</t>
  </si>
  <si>
    <t>JENA</t>
  </si>
  <si>
    <t>OFFICE JENA, P O BOX 100537, 07705 JENA, GERMANY</t>
  </si>
  <si>
    <t>10.1016/j.flora.2007.05.005</t>
  </si>
  <si>
    <t>232ZD</t>
  </si>
  <si>
    <t>WOS:000251059300009</t>
  </si>
  <si>
    <t>Totman, CA; Uzorka, OE; Dempsey, JP; Cole, DM</t>
  </si>
  <si>
    <t>Carpinteri, A; Gambarova, PG; Ferro, G; Plizzari, GA</t>
  </si>
  <si>
    <t>Totman, C. A.; Uzorka, O. E.; Dempsey, J. P.; Cole, D. M.</t>
  </si>
  <si>
    <t>Sub-size fracture testing of FY sea ice</t>
  </si>
  <si>
    <t>FRACTURE MECHANICS OF CONCRETE AND CONCRETE STRUCTURES, VOLS 1-3: VOL 1: NEW TRENDS IN FRACTURE MECHANICS OF CONCRETE; VOL 2: DESIGN, ASSESSMENT AND RETROFITTING OF RC STRUCTURES; VOL 3: HIGH-PERFORMANCE CONCRETE, BRICK-MASONRY AND ENVIRONMENTAL ASPECTS</t>
  </si>
  <si>
    <t>Proceedings and Monographs in Engineering Water and Earth Sciences</t>
  </si>
  <si>
    <t>6th International Conference on Fracture Mechanics of Concrete and Concrete Structures</t>
  </si>
  <si>
    <t>JUN 17-22, 2007</t>
  </si>
  <si>
    <t>Catania, ITALY</t>
  </si>
  <si>
    <t>In the Fall of 2004, a total of 14 sea ice beams were harvested off the coast of Antarctica in McMurdo Sound to be used for lab-scale ice fracture testing at Clarkson University. A sub-size test program was initiated, with a view to developing a lab-scale ice fracture test methodology for first-year sea ice and to compare the results with large-scale in-situ experiments. The geometry chosen for the lab-scale experiments was the single-edge-notched, self-weight compensated beam (SENB-SWC) loaded in the three-point bend configuration (as per the Level 11 method described in the ACI Committee 446 report on Fracture Toughness Testing of Concrete). Closed loop, constant CMOD rate control was used to achieve stable crack growth during the experiment. Although it was difficult to achieve stable crack growth in these experiments, recent success suggests that the sub-size testing program under way will be successful.</t>
  </si>
  <si>
    <t>[Totman, C. A.; Uzorka, O. E.; Dempsey, J. P.] Clarkson Univ, Potsdam, NY 13676 USA; [Cole, D. M.] US Army ERDC CRREL, Hanover, NH USA</t>
  </si>
  <si>
    <t>Clarkson University; United States Department of Defense; United States Army; U.S. Army Corps of Engineers; U.S. Army Engineer Research &amp; Development Center (ERDC); Cold Regions Research &amp; Engineering Laboratory (CRREL)</t>
  </si>
  <si>
    <t>Totman, CA (corresponding author), Clarkson Univ, Potsdam, NY 13676 USA.</t>
  </si>
  <si>
    <t>Dempsey, John/0000-0002-5820-7181</t>
  </si>
  <si>
    <t>US National Science Foundation through the Antarctic Oceans and Climate Systems Program [0338226]; Division of Undergraduate Education [0311075]; Direct For Education and Human Resources; Division Of Undergraduate Education [0311075] Funding Source: National Science Foundation</t>
  </si>
  <si>
    <t>US National Science Foundation through the Antarctic Oceans and Climate Systems Program(National Science Foundation (NSF)); Division of Undergraduate Education(National Science Foundation (NSF)NSF - Directorate for STEM Education (EDU)); Direct For Education and Human Resources; Division Of Undergraduate Education(National Science Foundation (NSF)NSF - Directorate for STEM Education (EDU))</t>
  </si>
  <si>
    <t>The financial support of the US National Science Foundation through the Antarctic Oceans and Climate Systems Program, Award # 0338226 and the Division of Undergraduate Education, Award # 0311075 is gratefully acknowledged.</t>
  </si>
  <si>
    <t>11 NEW FETTER LANE, LONDON EC4P 4EE, ENGLAND</t>
  </si>
  <si>
    <t>978-0-415-44066-0</t>
  </si>
  <si>
    <t>PROC MONOGR ENG WATE</t>
  </si>
  <si>
    <t>1-3</t>
  </si>
  <si>
    <t>Construction &amp; Building Technology; Engineering, Environmental; Engineering, Civil</t>
  </si>
  <si>
    <t>Construction &amp; Building Technology; Engineering</t>
  </si>
  <si>
    <t>BHB92</t>
  </si>
  <si>
    <t>WOS:000252133100204</t>
  </si>
  <si>
    <t>Cuollo, M; Ciarcia, G; Guerriero, G</t>
  </si>
  <si>
    <t>Cuollo, Marina; Ciarcia, Gaetano; Guerriero, Giulia</t>
  </si>
  <si>
    <t>Alpha-tocopherol in antarctic fish</t>
  </si>
  <si>
    <t>FREE RADICAL BIOLOGY AND MEDICINE</t>
  </si>
  <si>
    <t>14th Annual Meeting of the Society-for-Free-Radical-Biology-and-Medicine</t>
  </si>
  <si>
    <t>NOV 14-18, 2007</t>
  </si>
  <si>
    <t>Washington, DC</t>
  </si>
  <si>
    <t>[Cuollo, Marina; Ciarcia, Gaetano; Guerriero, Giulia] Univ Naples Federico 2, Dept Biol Sci, Naples, Italy</t>
  </si>
  <si>
    <t>University of Naples Federico II</t>
  </si>
  <si>
    <t>GUERRIERO, Giulia/M-1058-2019</t>
  </si>
  <si>
    <t>0891-5849</t>
  </si>
  <si>
    <t>FREE RADICAL BIO MED</t>
  </si>
  <si>
    <t>Free Radic. Biol. Med.</t>
  </si>
  <si>
    <t>S91</t>
  </si>
  <si>
    <t>Biochemistry &amp; Molecular Biology; Endocrinology &amp; Metabolism</t>
  </si>
  <si>
    <t>229WC</t>
  </si>
  <si>
    <t>WOS:000250835900234</t>
  </si>
  <si>
    <t>Martin, CL; Walsh, WM; Xiao, K; Lane, AP; Stark, AA; Walker, CK</t>
  </si>
  <si>
    <t>Baker, AJ; Glenn, J; Harris, AI; Mangum, JG; Yun, MS</t>
  </si>
  <si>
    <t>Martin, C. L.; Walsh, W. M.; Xiao, K.; Lane, A. P.; Stark, A. A.; Walker, C. K.</t>
  </si>
  <si>
    <t>Understanding sub-mm radio emission in our own backyard</t>
  </si>
  <si>
    <t>FROM Z-MACHINES TO ALMA: (SUB) MILLIMETER SPECTROSCOPY OF GALAXIES</t>
  </si>
  <si>
    <t>Workshop on From Z-Machines to ALMA - (SUB) Millimeter Spectroscopy of Galaxies</t>
  </si>
  <si>
    <t>JAN 12-14, 2006</t>
  </si>
  <si>
    <t>Natl Radio Astron Observ, N Amer ALMA Sci Ctr, Charlottesville, VA</t>
  </si>
  <si>
    <t>Natl Radio Astron Observ, N Amer ALMA Sci Ctr</t>
  </si>
  <si>
    <t>GALACTIC-CENTER REGION; ANTARCTIC-SUBMILLIMETER-TELESCOPE; SCALE CO SURVEY; CARBON-MONOXIDE; AST/RO; GALAXY; GAS; OH</t>
  </si>
  <si>
    <t>As we look for redshifted mm and sub-mm radio emission in distant galaxies, we need to understand our own Galaxy's emission to serve as a comparison. To aid in this effort, the Antarctic Submillimeter Telescope and Remote Observatory (AST/RO) has completed a survey of CO(7-6), CO(43), [CI] (P-3(2) - P-3(1)), and [CI] (P-3(2) - P-3(0)) from a three square degree region around the Galactic Center. In addition to this dataset, AST/RO has recently completed a survey area around Clumps 1 and 2, thus covering the bulk of strongly excited gas near the center of the Galaxy. Using this dataset, we explain the variety of features in our own Galaxy and how they can be used to interpret the data that, will be collected using future observations of distant galaxies.</t>
  </si>
  <si>
    <t>[Martin, C. L.] Oberlin Coll, Dept Phys &amp; Astron, 110 N Prof St, Oberlin, OH 44074 USA; [Walsh, W. M.] Univ New South Wales, Sch Phys, Sydney, NSW 2052, Australia; [Xiao, K.] Case Western Reserve Univ, Dept Phys, Cleveland, OH 44106 USA; [Lane, A. P.; Stark, A. A.] Harvard Smithsonian Ctr Astrophys, Cambridge, MA 02138 USA; [Walker, C. K.] Univ Arizona, Dept Astron, Tucson, AZ 85721 USA</t>
  </si>
  <si>
    <t>University System of Ohio; Oberlin College; University of New South Wales Sydney; University System of Ohio; Case Western Reserve University; Harvard University; Smithsonian Institution; Smithsonian Astrophysical Observatory; University of Arizona</t>
  </si>
  <si>
    <t>Martin, CL (corresponding author), Oberlin Coll, Dept Phys &amp; Astron, 110 N Prof St, Oberlin, OH 44074 USA.</t>
  </si>
  <si>
    <t>Martin, Christopher/0000-0002-8078-8859</t>
  </si>
  <si>
    <t>National Science Foundation under a cooperative agreement with the Center for Astropysical Research in Antarctica (CARA) [NSF OPP 89-20223]; NSF [ANT-0126090]</t>
  </si>
  <si>
    <t>National Science Foundation under a cooperative agreement with the Center for Astropysical Research in Antarctica (CARA); NSF(National Science Foundation (NSF))</t>
  </si>
  <si>
    <t>This research was supported in part by the National Science Foundation under a cooperative agreement with the Center for Astropysical Research in Antarctica (CARA), grant number NSF OPP 89-20223. CARA is a National Science Foundation Science and Technology Center. Support was also provided by NSF grant number ANT-0126090.</t>
  </si>
  <si>
    <t>978-1-58381-311-9</t>
  </si>
  <si>
    <t>BGU76</t>
  </si>
  <si>
    <t>WOS:000250716200034</t>
  </si>
  <si>
    <t>Gang, C; Dongchen, E</t>
  </si>
  <si>
    <t>Gang, Chen; Dongchen, E.</t>
  </si>
  <si>
    <t>Support Vector Machines for Cloud Detection over Ice-Snow Areas</t>
  </si>
  <si>
    <t>GEO-SPATIAL INFORMATION SCIENCE</t>
  </si>
  <si>
    <t>cloud detection; SVM; texture analysis; ice-snow covered area; polar region</t>
  </si>
  <si>
    <t>In polar regions, cloud and underlying ice-snow areas are difficult to distinguish in satellite images because of their high albedo in the visible band and low surface temperature of ice-snow areas in the infrared band. A cloud detection method over ice-snow covered areas in Antarctica is presented. On account of different texture features of cloud and ice-snow areas, five texture features are extracted based on GLCM. Nonlinear SVM is then used to obtain the optimal classification hyperplane from training data. The experiment results indicate that this algorithm performs well in cloud detection in Antarctica, especially for thin cirrus detection. Furthermore, when images are resampled to a quarter or 1/16 of the full size, cloud percentages are still at the same level, while the processing time decreases exponentially.</t>
  </si>
  <si>
    <t>[Gang, Chen] Univ Calgary, Dept Geog, Calgary, AB T2N 1N4, Canada; [Gang, Chen] Wuhan Univ, Chinese Antarct Ctr Surveying &amp; Mapping, Wuhan 430079, Hubei, Peoples R China</t>
  </si>
  <si>
    <t>University of Calgary; Wuhan University</t>
  </si>
  <si>
    <t>Gang, C (corresponding author), Univ Calgary, Dept Geog, Calgary, AB T2N 1N4, Canada.</t>
  </si>
  <si>
    <t>g_chen1982@hotmail.com</t>
  </si>
  <si>
    <t>Chen, Gang/AAG-9414-2020</t>
  </si>
  <si>
    <t>Chen, Gang/0000-0002-7469-3650</t>
  </si>
  <si>
    <t>Antarctic Geography Information Acquisition and Environmental Change Research of China [14601402024-04-06]</t>
  </si>
  <si>
    <t>Antarctic Geography Information Acquisition and Environmental Change Research of China</t>
  </si>
  <si>
    <t>Supported by the Antarctic Geography Information Acquisition and Environmental Change Research of China (No. 14601402024-04-06).</t>
  </si>
  <si>
    <t>1009-5020</t>
  </si>
  <si>
    <t>1993-5153</t>
  </si>
  <si>
    <t>GEO-SPAT INF SCI</t>
  </si>
  <si>
    <t>Geo-Spat. Inf. Sci.</t>
  </si>
  <si>
    <t>10.1007/s11806-007-0047-7</t>
  </si>
  <si>
    <t>Remote Sensing</t>
  </si>
  <si>
    <t>VA5JB</t>
  </si>
  <si>
    <t>WOS:000410060000008</t>
  </si>
  <si>
    <t>Ashford, J; Jones, C</t>
  </si>
  <si>
    <t>Ashford, Julian; Jones, Cynthia</t>
  </si>
  <si>
    <t>Oxygen and carbon stable isotopes in otoliths record spatial isolation of Patagonian toothfish (Dissostichus eleginoides)</t>
  </si>
  <si>
    <t>GEOCHIMICA ET COSMOCHIMICA ACTA</t>
  </si>
  <si>
    <t>ANTARCTIC CIRCUMPOLAR CURRENT; TRACE-ELEMENT ANALYSIS; FOOD-WEB STRUCTURE; WATER MASSES; STOCK IDENTIFICATION; POPULATION-STRUCTURE; ARAGONITIC OTOLITHS; C-13; FISH; FRACTIONATION</t>
  </si>
  <si>
    <t>Strong contrasts in ambient isotope ratios and in diet suggest stable isotopes in the otoliths of oceanic fish can resolve water masses and geographic areas, promising a powerful multivariate approach for examining population structure and provenance. To test this, whole otoliths were taken from Patagonian toothfish (Dissostichus eleginoides) sampled off the Patagonian Shelf and South Georgia, on either side of a population boundary, and otolith delta O-18 and delta C-13 values were measured to see if they could distinguish South American-caught fish from those taken in the Antarctic. Values of otolith delta O-18 and delta C-13 predicted capture area with 100% success, validating their use for distinguishing provenance and corroborating the prior evidence of population isolation. Values of delta O-18 in the otoliths reflected ambient values as well as seawater temperature: low values in Patagonian Shelf fish were consistent with exposure to Antarctic Intermediate Water (AAIW), and high values in South Georgia fish were consistent with exposure to Circumpolar Deep Water (CDW). In contrast, differences in otolith delta C-13 appeared to reflect diet: relative depletion of otolith delta C-13 at South Georgia compared to the Patagonian Shelf were most likely linked to differences in sources of metabolic carbon, as well as delta C-13 in dissolved inorganic carbon (DIC) of seawater. These contrasting properties strongly suggest that stable isotopes can resolve the provenance of toothfish from Antarctic sampling areas that hitherto have been difficult to separate. These results show that, by using the chemistry recorded in otoliths, researchers can exploit biogeochemical variation in fully marine environments to examine the spatial ecology of oceanic fish. (c) 2006 Elsevier Inc. All rights reserved.</t>
  </si>
  <si>
    <t>Old Dominion Univ, Ctr Quantitat Fisheries Ecol, Norfolk, VA 23529 USA</t>
  </si>
  <si>
    <t>Old Dominion University</t>
  </si>
  <si>
    <t>Ashford, J (corresponding author), Old Dominion Univ, Ctr Quantitat Fisheries Ecol, Norfolk, VA 23529 USA.</t>
  </si>
  <si>
    <t>jashford@odu.edu; cjones@odu.edu</t>
  </si>
  <si>
    <t>0016-7037</t>
  </si>
  <si>
    <t>1872-9533</t>
  </si>
  <si>
    <t>GEOCHIM COSMOCHIM AC</t>
  </si>
  <si>
    <t>Geochim. Cosmochim. Acta</t>
  </si>
  <si>
    <t>JAN 1</t>
  </si>
  <si>
    <t>10.1016/j.gca.2006.08.030</t>
  </si>
  <si>
    <t>123YU</t>
  </si>
  <si>
    <t>WOS:000243334400007</t>
  </si>
  <si>
    <t>Polonia, A; Torelli, L</t>
  </si>
  <si>
    <t>Polonia, A.; Torelli, L.</t>
  </si>
  <si>
    <t>Antarctic/Scotia plate convergence off southernmost Chile</t>
  </si>
  <si>
    <t>GEOLOGICA ACTA</t>
  </si>
  <si>
    <t>plate tectonics; continental margin; trench; subduction complex; tectonic accretion; marine geology</t>
  </si>
  <si>
    <t>ACCRETIONARY WEDGES; RIDGE SUBDUCTION; THRUST BELTS; SCOTIA SEA; MARGIN; TECTONICS; ANDES; EVOLUTION; ROTATION; MOTIONS</t>
  </si>
  <si>
    <t>The southern tip of South America off Chile has suffered a long phase of ocean-continent convergence which has shaped the continental margin through different phases of accretion and tectonic erosion. The present accretionary wedge is a discontinuous geological record of plate convergence and records only part of the accretionary processes resumed after Chile ridge consumption (14 Ma). The structural style of the subduction complex, such as rates of sediment accretion and tectonic erosion, structural vergence, width of the accretionary wedge, taper angle and deformation in the forearc basin, varies along the margin. Large taper values are related to narrow wedges and seaward vergent structures. Low tapers occur where deformation at the toe of the accretionary complex is spread over wide areas and is related both to landward and seaward vergent thrust faults. Seismic data interpretation contributes to define more accurately frontal wedge morphology and geometry of subduction and suggests that different modes of accretion together with tectonic erosion may be active concurrently along the trench at different locations. In areas of subduction driven accretionary processes the majority of trench sediments are involved in accretionary processes and sediments are uplifted and piled up in the form of imbricate thrust sheets. In areas where the wedge is non-accretionary the continental margin shows steeper continental slopes associated with narrow accretionary wedges, more intense sediment disruption and very shallow decollement levels. Variation in structural style and in the geometry of the forearc region setting off Southernmost Chile, has been interpreted as related to the existence of different structural domains: the nature of their boundaries is still unclear mainly for the lack of high resolution bathymetric data. They have been tentatively related to tectonic lineaments belonging to the Magellan Fault system and/or to the character and morphology of the converging plates (lateral heterogeneities, sea-mounts and fracture zones), which produce a segmentation of the margin.</t>
  </si>
  <si>
    <t>[Polonia, A.] CNR, ISMAR, I-40129 Bologna, Italy; [Torelli, L.] Univ Parma, Dipartimento Sci Terra, I-43100 Parma, Italy</t>
  </si>
  <si>
    <t>Consiglio Nazionale delle Ricerche (CNR); Istituto di Scienze Marine (ISMAR-CNR); University of Parma</t>
  </si>
  <si>
    <t>Polonia, A (corresponding author), CNR, ISMAR, Via Gobetti 101, I-40129 Bologna, Italy.</t>
  </si>
  <si>
    <t>alina.polonia@bo.ismar.cnr.it; lutor@unipr.it</t>
  </si>
  <si>
    <t>; Polonia, Alina/F-4801-2018; CNR, Ismar/P-1247-2014</t>
  </si>
  <si>
    <t>Torelli, Luigi/0000-0002-8694-9385; Polonia, Alina/0000-0002-1700-453X; CNR, Ismar/0000-0001-5351-1486</t>
  </si>
  <si>
    <t>UNIV BARCELONA</t>
  </si>
  <si>
    <t>BARCELONA</t>
  </si>
  <si>
    <t>INST CIENCIES TERRA JAUME ALMERA-CSIC, LLUIS SOLE I SABARIS S-N, BARCELONA, E-08028, SPAIN</t>
  </si>
  <si>
    <t>1695-6133</t>
  </si>
  <si>
    <t>1696-5728</t>
  </si>
  <si>
    <t>GEOL ACTA</t>
  </si>
  <si>
    <t>Geol. Acta</t>
  </si>
  <si>
    <t>254NP</t>
  </si>
  <si>
    <t>WOS:000252593600003</t>
  </si>
  <si>
    <t>Chávez, RE; Flores-Márquez, EL; Suriñach, E; Galindo-Zaldívar, JG; Rodríguez-Fernández, JR; Maldonado, A</t>
  </si>
  <si>
    <t>Chavez, R. E.; Flores-Marquez, E. L.; Surinach, E.; Galindo-Zaldivar, J. G.; Rodriguez-Fernandez, J. R.; Maldonado, A.</t>
  </si>
  <si>
    <t>Combined use of the GGSFT data base and on board marine collected data to model the Moho beneath the Powell Basin, Antarctica</t>
  </si>
  <si>
    <t>gravity; inverse theory; antarctic peninsula; Powell Basin; marine geophysics</t>
  </si>
  <si>
    <t>SHACKLETON FRACTURE-ZONE; NORTHERN WEDDELL SEA; DRAKE PASSAGE; SATELLITE ALTIMETRY; MAGNETIC-ANOMALIES; TECTONIC EVOLUTION; GRAVITY INVERSION; OCEAN-BASIN; PENINSULA; RIDGE</t>
  </si>
  <si>
    <t>The Powell Basin is a small oceanic basin located at the NE end of the Antarctic Peninsula developed during the Early Miocene and mostly surrounded by the continental crusts of the South Orkney Microcontinent, South Scotia Ridge and Antarctic Peninsula margins. Gravity data from the SCAN 97 cruise obtained with the R/V Hesperides and data from the Global Gravity Grid and Sea Floor Topography (GGSFT) database (Sandwell and Smith, 1997) are used to determine the 31) geometry of the crustal-mantle interface (CMI) by numerical inversion methods. Water layer contribution and sedimentary effects were eliminated from the Free Air anomaly to obtain the total anomaly. Sedimentary effects were obtained from the analysis of existing and new SCAN 97 multichannel seismic profiles (MCS). The regional anomaly was obtained after spectral and filtering processes. The smooth 3D geometry of the crustal mantle interface obtained after inversion of the regional anomaly shows an increase in the thickness of the crust towards the continental margins and a NW-SE oriented axis of symmetry coinciding with the position of an older oceanic spreading axis. This interface shows a moderate uplift towards the western part and depicts two main uplifts to the northern and eastern sectors.</t>
  </si>
  <si>
    <t>[Chavez, R. E.; Flores-Marquez, E. L.] Univ Nacl Autonoma Mexico, Inst Geofis, Mexico City 04510, DF, Mexico; [Surinach, E.] Univ Barcelona, Dept Geodinam &amp; Geofis, E-08028 Barcelona, Spain; [Galindo-Zaldivar, J. G.] Univ Granada, Dept Geodinam, E-18071 Granada, Spain; [Rodriguez-Fernandez, J. R.; Maldonado, A.] Univ Granada, Fac Ciencias, CSIC, Inst Andaluz Ciencias Tierra, Granada 18002, Spain</t>
  </si>
  <si>
    <t>Universidad Nacional Autonoma de Mexico; University of Barcelona; University of Granada; Consejo Superior de Investigaciones Cientificas (CSIC); CSIC - Instituto Andaluz de Ciencias de la Tierra (IACT); University of Granada</t>
  </si>
  <si>
    <t>Chávez, RE (corresponding author), Univ Nacl Autonoma Mexico, Inst Geofis, Cd Univ, Mexico City 04510, DF, Mexico.</t>
  </si>
  <si>
    <t>exprene@geofisica.unam.mx; leticia@geofisica.unam.mx; emma.surinach@ub.edu; jgalindo@ugr.es; jrodrig@ugr.es; amaldona@ugr.es</t>
  </si>
  <si>
    <t>Chavez, Rene/AAF-1948-2020; Galindo-Zaldivar, Jesus/K-3640-2012; Surinach, Emma/C-5896-2008; RODRIGUEZ-FERNANDEZ, JOSE/L-7077-2014</t>
  </si>
  <si>
    <t>Galindo-Zaldivar, Jesus/0000-0002-3493-2637; RODRIGUEZ-FERNANDEZ, JOSE/0000-0003-0349-9209; Flores Marquez, Elsa Leticia/0000-0003-1115-063X; Chavez Segura, Rene Efrain/0000-0001-6012-1574</t>
  </si>
  <si>
    <t>WOS:000252593600006</t>
  </si>
  <si>
    <t>Leat, PT; Larter, RD; Millar, IL</t>
  </si>
  <si>
    <t>Leat, P. T.; Larter, R. D.; Millar, I. L.</t>
  </si>
  <si>
    <t>Silicic magmas of Protector Shoal, South Sandwich arc: indicators of generation of primitive continental crust in an island arc</t>
  </si>
  <si>
    <t>GEOLOGICAL MAGAZINE</t>
  </si>
  <si>
    <t>geochemistry; island arcs; pumice; South Atlantic; submarine volcanoes</t>
  </si>
  <si>
    <t>SUBMARINE CALDERA; RHYOLITIC MAGMA; MANTLE SOURCES; KERMADEC ARC; NEW-ZEALAND; GENESIS; GEOCHEMISTRY; PETROGENESIS; SUBDUCTION; VOLCANO</t>
  </si>
  <si>
    <t>Protector Shoal, the northernmost and most silicic volcano of the South Sandwich arc, erupted dacite-rhyolite pumice in 1962. We report geochemical data for a new suite of samples dredged from the volcano. Geochemically, the dredge and 1962 samples form four distinct magma groups that cannot have been related to each other, and are unlikely to have been related to a single basaltic parent, by fractional crystallization. instead, the silicic rocks are more likely to have been generated by partial melting of basaltic lower crust within the are. Trace element and Sr-Nd isotope data indicate that the silicic volcanics have compositions that are more similar to the volcanic arc than the oceanic basement formed at a back-arc spreading centre, and volcanic arc basalts are considered to be the likely source for the silicic magmas. The South Sandwich Islands are one of several intra-oceanic arcs (Tonga-Kermadec, Izu-Bonin) that have: (1) significant amounts of compositionally bimodal mafic-silicic volcanic products and (2) 6.0-6.5 km s(-1) P-wave velocity layers in their mid-crusts that have been imaged by wide-angle seismic surveys and interpreted as intermediate-silicic plutons. Geochemical and volume considerations indicate that both the silicic volcanics and plutonic layers were generated by partial melting of basaltic arc crust, representing an early stage in the fractionation of oceanic basalt to form continental crust.</t>
  </si>
  <si>
    <t>British Antarctic Survey, Cambridge CB3 0ET, England; NERC, Isotope Geosci Lab, Keyworth NG12 5GG, Notts, England</t>
  </si>
  <si>
    <t>UK Research &amp; Innovation (UKRI); Natural Environment Research Council (NERC); NERC British Antarctic Survey; UK Research &amp; Innovation (UKRI); Natural Environment Research Council (NERC); NERC British Geological Survey</t>
  </si>
  <si>
    <t>Leat, PT (corresponding author), British Antarctic Survey, High Cross,Madingley Rd, Cambridge CB3 0ET, England.</t>
  </si>
  <si>
    <t>p.leat@bas.ac.uk</t>
  </si>
  <si>
    <t>Millar, Ian L/F-1541-2010</t>
  </si>
  <si>
    <t>Larter, Robert/0000-0002-8414-7389</t>
  </si>
  <si>
    <t>NERC [bas010020] Funding Source: UKRI; Natural Environment Research Council [bas010020] Funding Source: researchfish</t>
  </si>
  <si>
    <t>32 AVENUE OF THE AMERICAS, NEW YORK, NY 10013-2473 USA</t>
  </si>
  <si>
    <t>0016-7568</t>
  </si>
  <si>
    <t>1469-5081</t>
  </si>
  <si>
    <t>GEOL MAG</t>
  </si>
  <si>
    <t>Geol. Mag.</t>
  </si>
  <si>
    <t>10.1017/S0016756806002925</t>
  </si>
  <si>
    <t>138WY</t>
  </si>
  <si>
    <t>WOS:000244395200010</t>
  </si>
  <si>
    <t>Thompson, WA; Martin, JE; Reguero, M</t>
  </si>
  <si>
    <t>Martin, JE; Parris, DC</t>
  </si>
  <si>
    <t>Thompson, Wayne A.; Martin, James E.; Reguero, Marcello</t>
  </si>
  <si>
    <t>Comparison of gastroliths within plesiosaurs (Elasmosauridae) from the Late Cretaceous marine deposits of Vega Island, Antarctic Peninsula, and the Missouri River area, South Dakota</t>
  </si>
  <si>
    <t>GEOLOGY AND PALEONTOLOGY OF THE LATE CRETACEOUS MARINE DEPOSITS OF THE DAKOTAS</t>
  </si>
  <si>
    <t>plesiosaurs; gastroliths; buoyancy; Antarctica</t>
  </si>
  <si>
    <t>STOMACH STONES</t>
  </si>
  <si>
    <t>Elasmosaurid plesiosaur remains containing gastroliths have been recently recovered from the Late Cretaceous Cape Lamb Member of the Snow Hill Island Formation, Antarctic Peninsula, as well as from the Sharon Springs Formation of the Pierre Shale Group, South Dakota. The significance of the Antarctic specimens lies in the large number and relatively small size of the stones, whereas those from South Dakota and elsewhere have larger stones but relatively small numbers. All specimens compared are of relatively large elasmosaurids, and rib diameters indicate similar overall size. One testable hypothesis was whether or not the weight of the gastroliths might be similar among similarly sized individuals. However, comparisons between the gastroliths recovered from an Antarctic specimen and those recovered from the Pierre Shale show great differences in both the size and number of gastroliths. The total mass of the stones collected in the specimen from Antarctica was 3.0 kg, whereas those recovered from the South Dakota specimens totaled 2.2 kg and 8.3 kg, respectively. Perhaps not all stones originally within each plesiosaur were found, but efforts were designed to recover every stone. The number of stones recovered from the Antarctic plesiosaur was exceptionally large ( 2626) and appears to represent the most gastroliths recovered from a single plesiosaur. Those recovered from South Dakota elasmosaurids totaled only 124 and 253, respectively. Therefore, neither weight nor number of stones corresponds among these large individuals, perhaps mirroring the temporal or behavioral differences. Lack of correspondence among individuals furthers questions concerning the utilization of gastroliths for neutral buoyancy, ballast, or as an aid in digestion. Many parameters remain unexplored, and questions arise not only as to the utilization of the gastroliths but also as to whether physiology of the Antarctic plesiosaurs differs from those at lower latitudes.</t>
  </si>
  <si>
    <t>[Thompson, Wayne A.; Martin, James E.] S Dakota Sch Mines &amp; Technol, Dept Geol &amp; Geol Engn, Rapid City, SD 57701 USA; [Reguero, Marcello] Museo Plata, Dept Paleontol Vertebrados, La Plata, Argentina</t>
  </si>
  <si>
    <t>South Dakota School Mines &amp; Technology; National University of La Plata; Museo La Plata</t>
  </si>
  <si>
    <t>Thompson, WA (corresponding author), S Dakota Sch Mines &amp; Technol, Dept Geol &amp; Geol Engn, Rapid City, SD 57701 USA.</t>
  </si>
  <si>
    <t>978-0-8137-2427-0</t>
  </si>
  <si>
    <t>10.1130/2007.2427(10)</t>
  </si>
  <si>
    <t>Geology; Paleontology</t>
  </si>
  <si>
    <t>BLY04</t>
  </si>
  <si>
    <t>WOS:000271381000010</t>
  </si>
  <si>
    <t>Chapman, MG; Smellie, JL</t>
  </si>
  <si>
    <t>Chapman, MG</t>
  </si>
  <si>
    <t>Chapman, Mary G.; Smellie, John L.</t>
  </si>
  <si>
    <t>Mars interior layered deposits and terrestrial sub-ice volcanoes compared: observations and interpretations of similar geomorphic characteristics</t>
  </si>
  <si>
    <t>GEOLOGY OF MARS: EVIDENCE FROM EARTH-BASED ANALOGS</t>
  </si>
  <si>
    <t>Cambridge Planetary Science Series</t>
  </si>
  <si>
    <t>VALLES-MARINERIS; ERUPTION; BRINES; TOPOGRAPHY; BENEATH; WATER; FLOW</t>
  </si>
  <si>
    <t>[Chapman, Mary G.] US Geol Survey, Flagstaff, AZ 86001 USA; [Smellie, John L.] British Antarctic Survey, Cambridge CB3 0ET, England</t>
  </si>
  <si>
    <t>United States Department of the Interior; United States Geological Survey; UK Research &amp; Innovation (UKRI); Natural Environment Research Council (NERC); NERC British Antarctic Survey</t>
  </si>
  <si>
    <t>Chapman, MG (corresponding author), US Geol Survey, Flagstaff, AZ 86001 USA.</t>
  </si>
  <si>
    <t>978-0-521-83292-2</t>
  </si>
  <si>
    <t>CAMB PLANET</t>
  </si>
  <si>
    <t>10.1017/CBO9780511536014.008</t>
  </si>
  <si>
    <t>10.1017/CBO9780511536014</t>
  </si>
  <si>
    <t>Astronomy &amp; Astrophysics; Geosciences, Multidisciplinary</t>
  </si>
  <si>
    <t>Astronomy &amp; Astrophysics; Geology</t>
  </si>
  <si>
    <t>BXW26</t>
  </si>
  <si>
    <t>WOS:000297320800008</t>
  </si>
  <si>
    <t>Siegert, MJ; Le Brocq, A; Payne, AJ</t>
  </si>
  <si>
    <t>Hambrey, MJ; Christoffersen, P; Glasser, NF; Hubbard, B</t>
  </si>
  <si>
    <t>Siegert, Martin J.; Le Brocq, Anne; Payne, Antony J.</t>
  </si>
  <si>
    <t>Hydrological connections between Antarctic subglacial lakes, the flow of water beneath the East Antarctic Ice Sheet and implications for sedimentary processes</t>
  </si>
  <si>
    <t>GLACIAL SEDIMENTARY PROCESSES AND PRODUCTS</t>
  </si>
  <si>
    <t>Special Publications of the International Association of Sedimentologists</t>
  </si>
  <si>
    <t>basal hydrology; ice-sheet dynamics; glacial history</t>
  </si>
  <si>
    <t>MELTWATER; FLOODS; SYSTEM; MODEL</t>
  </si>
  <si>
    <t>Subglacial lakes are commonly referred to as unique environments isolated for millions of years. The recent detection of a rapid transmission of water between subglacial lakes indicates, however, that these environments may be connected hydrologically and that sporadic discharge of lake water may be an expected process. Knowledge of this flow at a continental scale is important to understanding habitats provided by subglacial lakes, the potential routes by which stored basal water can be exported to the ice margin and the development of glacial-fluvial landforms. Here, an assessment of Antarctic subglacial water flow-paths is presented, based on hydro-potential gradients derived from basal and ice surface topographies. The assessment reveals that most subglacial lakes around Dome C are likely to be linked. One flow-path in particular connects &gt; 10 lakes located within adjacent topographic valleys, including Lake Concordia and Lake Vincennes. Subglacial water at Dome C has the potential to flow to the ocean, as the ice base is warm continuously between the ice divide and the margin. Such flow is likely to be organised into distinct drainage basins, in which water is routed to the proglacial zone through only a small number of outlets, which potentially has a strong influence on the development of sedimentary landforms.</t>
  </si>
  <si>
    <t>[Siegert, Martin J.] Univ Edinburgh, Grant Inst, Sch Geosci, Edinburgh EH9 3JW, Midlothian, Scotland; [Le Brocq, Anne; Payne, Antony J.] Univ Bristol, Sch Geog Sci, Bristol Glaciol Ctr, Ctr Polar Observat &amp; Modelling, Bristol BS8 1SS, Avon, England</t>
  </si>
  <si>
    <t>University of Edinburgh; University of Bristol</t>
  </si>
  <si>
    <t>Siegert, MJ (corresponding author), Univ Edinburgh, Grant Inst, Sch Geosci, W Mains Rd, Edinburgh EH9 3JW, Midlothian, Scotland.</t>
  </si>
  <si>
    <t>m.j.siegert@edinburgh.ac.uk</t>
  </si>
  <si>
    <t>Siegert, Martin/M-9939-2019; Siegert, Martin J/A-3826-2008; payne, antony/A-8916-2008</t>
  </si>
  <si>
    <t>Siegert, Martin/0000-0002-0090-4806; Siegert, Martin J/0000-0002-0090-4806; payne, antony/0000-0001-8825-8425</t>
  </si>
  <si>
    <t>WILEY-BLACKWELL</t>
  </si>
  <si>
    <t>COMMERCE PLACE, 350 MAIN STREET, MALDEN 02148, MA USA</t>
  </si>
  <si>
    <t>0141-3600</t>
  </si>
  <si>
    <t>978-1-4443-0443-5</t>
  </si>
  <si>
    <t>SPEC PUBL INT ASS SE</t>
  </si>
  <si>
    <t>10.1002/9781444304435</t>
  </si>
  <si>
    <t>BTE75</t>
  </si>
  <si>
    <t>WOS:000286655000004</t>
  </si>
  <si>
    <t>Pollard, D; Deconto, RM</t>
  </si>
  <si>
    <t>Pollard, David; Deconto, Robert M.</t>
  </si>
  <si>
    <t>A coupled ice-sheet/ice-shelf/sediment model applied to a marine-margin flowline: forced and unforced variations</t>
  </si>
  <si>
    <t>Ice sheet model; ice shelf model; marine sediment; Cenozoic; Antarctica</t>
  </si>
  <si>
    <t>SUBGLACIAL SEDIMENT-DEFORMATION; DEEP-SEA TEMPERATURE; LAKE-MICHIGAN LOBE; ANTARCTIC ICE; EAST ANTARCTICA; GROUNDING-LINE; STREAM-B; CONTINENTAL-MARGIN; GLACIAL EROSION; SHELF</t>
  </si>
  <si>
    <t>A standard large-scale ice-sheet model is extended by (i) adding ice stream-shelf flow using a combined set of scaled equations for sheet and shelf flow, and (ii) coupling with a deforming sediment model that predicts bulk sediment thickness. The combination of sheet and shelf flow equations is heuristic, but allows horizontal shear and longitudinal stretching without a priori assumptions about the flow regime, and a freely migrating grounding line. The sediment model includes bulk transport under ice assuming a weakly non-linear till rheology, and generation of till by glacial erosion. The combined model explicitly simulates off-shore sediment strata, taking one step towards the goal of direct comparisons with Cenozoic glacimarine sediments on Antarctic continental shelves. Preliminary 1-D flowline simulations are described on a linearly sloping domain, with simple prescribed spatial and temporal variations of surface ice mass balance. Each simulation is run for 10 million years, and the various patterns of offshore sediment strata built up over the course of each run are examined. A wide variety of sediment patterns is produced depending on uncertain model parameters, including unforced irregular oscillations in the absence of external forcing variations. The results are not conclusive, but illustrate the variety of possible interactions that may play a role as more definitive 3-D models become available to link Cenozoic climate variations with the Antarctic sediment record.</t>
  </si>
  <si>
    <t>[Pollard, David] Penn State Univ, Ctr Earth Syst Sci, University Pk, PA 16802 USA; [Deconto, Robert M.] Univ Massachusetts, Dept Geosci, Amherst, MA 01003 USA</t>
  </si>
  <si>
    <t>Pennsylvania Commonwealth System of Higher Education (PCSHE); Pennsylvania State University; Pennsylvania State University - University Park; University of Massachusetts System; University of Massachusetts Amherst</t>
  </si>
  <si>
    <t>Pollard, D (corresponding author), Penn State Univ, Ctr Earth Syst Sci, University Pk, PA 16802 USA.</t>
  </si>
  <si>
    <t>pollard@essc.psu.edu</t>
  </si>
  <si>
    <t>978-1-4443-0443-5; 978-1-4051-8300-0</t>
  </si>
  <si>
    <t>WOS:000286655000007</t>
  </si>
  <si>
    <t>Siegert, MJ</t>
  </si>
  <si>
    <t>Siegert, Martin J.</t>
  </si>
  <si>
    <t>A brief review on modelling sediment erosion, transport and deposition by former large ice sheets</t>
  </si>
  <si>
    <t>Review; Book Chapter</t>
  </si>
  <si>
    <t>Ice sheet; numerical modelling; sediment; subglacial; erosion</t>
  </si>
  <si>
    <t>ANTARCTIC ICE; CONTINENTAL MARGINS; GLACIAL CYCLE; OSCILLATIONS; DYNAMICS; STREAMS; FLOW</t>
  </si>
  <si>
    <t>Although numerical ice sheet models have been used often to predict the size and dynamics of former ice sheets, few exercises have utilised the geological record to fully constrain model output. Geological evidence can be used to build detailed hypotheses regarding ice sheet and climate history, which can be tested by computer models provided ice flow is coupled to sediment erosion, transport and deposition. Here three examples of how geological data have been used in conjunction with coupled ice-sheet/sediment modelling to comprehend large-scale glacial history are discussed. The first describes how numerical reconstructions of the late glacial Eurasian Ice Sheet have benefited from marine geophysical surveys quantifying sediment fans along the former ice margin. The second reviews how models have been used to determine the likely accumulations of sediments from the initiation and growth of the Antarctic Ice Sheet. The third discusses developments in modelling techniques that allow detailed predictions of sediment deposits and their evolution through time. In addition, a note is provided on how modelling can be used to provide process information concerning former ice sheet instabilities, which can lead to marine sedimentary records such as Heinrich layers.</t>
  </si>
  <si>
    <t>Univ Edinburgh, Grant Inst, Sch Geosci, Edinburgh EH9 3JW, Midlothian, Scotland</t>
  </si>
  <si>
    <t>m.j.siegert@ed.ac.uk</t>
  </si>
  <si>
    <t>Siegert, Martin J/A-3826-2008; Siegert, Martin/M-9939-2019</t>
  </si>
  <si>
    <t>Siegert, Martin J/0000-0002-0090-4806; Siegert, Martin/0000-0002-0090-4806</t>
  </si>
  <si>
    <t>WOS:000286655000008</t>
  </si>
  <si>
    <t>Willmott, V; Domack, E; Padman, L; Canals, M</t>
  </si>
  <si>
    <t>Willmott, Veronica; Domack, Eugene; Padman, Laurence; Canals, Miquel</t>
  </si>
  <si>
    <t>Glaciomarine sediment drifts from Gerlache Strait, Antarctic Peninsula</t>
  </si>
  <si>
    <t>Holocene cores; Gerlache Strait; Antarctic Peninsula; sediment drifts</t>
  </si>
  <si>
    <t>BRANSFIELD STRAIT; CONTINENTAL-SHELF; PALMER-DEEP; SEA-ICE; GLACIAL MORPHOLOGY; ACCUMULATION RATES; MARINE-SEDIMENTS; DEPOSITS; FLUXES; RECORD</t>
  </si>
  <si>
    <t>Four sediment cores were collected along the Gerlache Strait, Western Antarctic Peninsula, over two extremely thick, sedimentary accumulations: the Andvord and the Schollaert drifts. The four cores present a sediment facies succession from couplets of laminated diatom ooze and sandy-mud alternating with massive, bioturbated, terrigenous silt/clay unit to a predominantly massive, bioturbated, silty-clay unit. Seismic profiles across the Schollaert Drift show an internal structure defined by wavy stratified reflectors onlapping the northern slope of the strait. We suggest that the formation of the Schollaert Drift was strongly related to the persistence of estuarine conditions during the Middle Holocene along the Gerlache Strait, arising from blockage of the southern entrance by increased glaciation. Such a blockage would have resulted in a retention of fresh water input from melting ice margins and melting sea ice, increased surface temperatures, and reduced exchange with waters originating from the Antarctic Circumpolar Current. In that context, the increase in suspended sediment would have been redistributed by tidal currents leading to enhanced deposition of sediment across the Schollaert Drift.</t>
  </si>
  <si>
    <t>[Domack, Eugene] Hamilton Coll, Dept Geosci, Clinton, NY 13323 USA; [Padman, Laurence] Earth &amp; Space Res, Corvallis, OR USA; [Canals, Miquel] Univ Barcelona, Dept Estratig P &amp; Geociencies Marines, GRC Geociencies Marines, E-08007 Barcelona, Spain</t>
  </si>
  <si>
    <t>Hamilton College; University of Barcelona</t>
  </si>
  <si>
    <t>edomack@hamilton.edu</t>
  </si>
  <si>
    <t>Padman, Laurence/AAH-3808-2021; Canals, Miquel/F-4922-2013; Willmott Puig, Veronica/AGN-3478-2022</t>
  </si>
  <si>
    <t>Willmott Puig, Veronica/0000-0002-6552-8901</t>
  </si>
  <si>
    <t>111 RIVER STREET, HOBOKEN, NJ, UNITED STATES</t>
  </si>
  <si>
    <t>WOS:000286655000009</t>
  </si>
  <si>
    <t>Barrett, PJ</t>
  </si>
  <si>
    <t>Barrett, P. J.</t>
  </si>
  <si>
    <t>Cenozoic climate and sea level history from glacimarine strata off the Victoria Land coast, Cape Roberts Project, Antarctica</t>
  </si>
  <si>
    <t>Cape Roberts Project; Cenozoic; palaeoclimate; sequence stratigraphy; glaciomarine facies; Antarctic margin</t>
  </si>
  <si>
    <t>OLIGOCENE ICE-SHEET; EARLY MIOCENE; TRANSANTARCTIC MOUNTAINS; MCMURDO SOUND; ROSS SEA; CONTINENTAL-MARGIN; LATE EOCENE; RECORD; BASIN; CALIBRATION</t>
  </si>
  <si>
    <t>This paper reviews the record of past climate and sea level from 34 to 17 Ma provided by continuous core through 1500 m of shallow marine strata off the Victoria Land coast of Antarctica. The site was selected because it is close to the edge of the East Antarctic Ice Sheet. Previous drilling and seismic surveys had suggested a thick seaward-dipping sequence of Oligocene and older age close to the coast. However, the floor of the basin, lower Devonian sandstone, was encountered beneath uppermost Eocene conglomerate. The strata were deposited in a rift basin just seaward of the Transantarctic Mountains c. 20 m.y. after uplift began. Sediment was delivered by rivers and glaciers both from and behind the mountains from the East Antarctic interior. Sediment accumulation was rapid and the record more complete for the period 34 to 31 m.y., but then slowed as basin subsidence declined, leaving major time gaps, but still a representative record of the entire time span. Basin filling kept pace with subsidence. The sedimentary facies - conglomerate, sandstone and mudstone with marine fossils throughout - are typical of the coastal margin of a subsiding sedimentary basin, with the addition of diamictite beds in the upper 900 m recording marine-terminating glaciers that extended periodically beyond the coast. Deposition was characterised by repetitive vertical facies successions of conglomerate and fine sandstone in the lower part of the section and by cyclic facies successions of diamictite, sandstone and mudstone from a few to over 60 m thick in the upper part. These are thought to reflect glacio-eustatic changes in sea level on a wave-dominated coast in concert with advance and retreat of piedmont ice onto the continental shelf, with diamicton and sand (nearshore) grading upwards to mud (shelf) and then to sand (inner shelf to shoreline). Tephra dating of two cycles at 23.98 and 24.22 Ma allows their correlation with 40,000 years cycles in the deep-sea isotope record, and ascribed to eustatic sea-level changes of 30-60 m. This suggests that the cyclicity of the Cape Roberts section reflects the influence of the earth's varying orbital parameters on climate and sea level, with over 50 sedimentary cycles preserved out of the possible 200-400 cycles during this time period. The Cape Roberts section also records a dramatic increase in glacial influence at around 33 Ma, with the proportion of glacial facies ranging from 10 to 30% of the sedimentary section through to 17 Ma. The section also records a progressive shift from chemical to physical weathering (decline in CIA index and increase in % illite-chlorite) from 33 to 25 Ma, and a decline in marine palynomorphs characteristic of fresh melt water mingling over the same interval. The terrestrial pollen record records interglacial climate and indicates this to be cool temperate for the entire period from 34 to 17 Ma though slightly cooler from c. 25 Ma.</t>
  </si>
  <si>
    <t>Victoria Univ Wellington, Antarctic Res Ctr, Wellington, New Zealand</t>
  </si>
  <si>
    <t>Barrett, PJ (corresponding author), Victoria Univ Wellington, Antarctic Res Ctr, POB 600, Wellington, New Zealand.</t>
  </si>
  <si>
    <t>peter.barrett@vuw.ac.nz</t>
  </si>
  <si>
    <t>WOS:000286655000018</t>
  </si>
  <si>
    <t>Ghienne, JF; Le Heron, DP; Moreau, J; Denis, M; Deynoux, M</t>
  </si>
  <si>
    <t>Ghienne, Jean-Francois; Le Heron, Daniel Paul; Moreau, Julien; Denis, Michael; Deynoux, Max</t>
  </si>
  <si>
    <t>The Late Ordovician glacial sedimentary system of the North Gondwana platform</t>
  </si>
  <si>
    <t>Glacial record; Hirnantian; North Africa; ice stream; sequence stratigraphy</t>
  </si>
  <si>
    <t>OAK RIDGES MORAINE; SEA-LEVEL CHANGE; ICE-SHEET; SEQUENCE STRATIGRAPHY; MURZUQ BASIN; WEST-AFRICA; CONTINENTAL SHELVES; ANTARCTIC PENINSULA; SILURIAN BOUNDARY; STRIATED SURFACES</t>
  </si>
  <si>
    <t>The Late Ordovician (Hirnantian) glaciation is examined through the North Gondwana record. This domain extended from southern high palaeo-latitudes (southeastern Mauritania, Niger) to northern lower palaeo-latitudes (Morocco, Turkey) and covered a more than 4000 km-wide section perpendicular to ice-flow lines. A major mid-Hirnantian deglaciation event subdividing the Hirnantian glaciation in two first-order cycles is recognised. As best illustrated by the glacial record in western Libya, each cycle comprises 2-3 glacial phases separated by ice-front retreats several hundreds kilometres to the south. From ice-proximal to ice-distal regions, the number of glacial surfaces differentiates (i) a continental interior with post-glacial reworking of the glacial surfaces), (ii) a glaciated continental shelf that is subdivided into inner (1-2 surfaces), middle (2-5 surfaces) and outer (a single surface related to the glacial maximum) glaciated shelves, and (iii) the non-glaciated shelf. Ice-stream-generated glacial troughs, 50-200 km in width, cross-cut these domains. These troughs are zones of preferential glacial erosion and subsequent sediment accumulation. A glacial depositional sequence, bounded by two glacial erosion surfaces, records one glacial phase. The position either within or outside a glacial trough controls the stratigraphic architecture of a glacial sequence. Glaciomarine outwash diamictites are developed at or near the maximum position of the ice-front. During ice-sheet recession, and in an ice-stream-generated trough, a relatively thin sediment cover blankets the foredeepened erosion surface. An initial rapid ice-sheet withdrawal is inferred. Marine-terminating ice fronts then evolve later into more slowly retreating, land-terminating ice fronts. In adjacent inter-stream areas where a more gradual ice-sheet recession occurred, fluvioglacial deposits prevailed. The progradation of a delta-shelf system, coeval with fluvial aggradation, that may be locally interrupted by a period of isostatic rebound, characterises the late glacial retreat to interglacial conditions. This model should facilitate the sequence stratigraphic interpretation of Late Ordovician glacial deposits and other ancient glacial successions.</t>
  </si>
  <si>
    <t>[Ghienne, Jean-Francois; Le Heron, Daniel Paul; Moreau, Julien; Deynoux, Max] CNRS, UMR 7517, Ctr Geochim Surface, Ecole Sci Terre, F-67084 Strasbourg, France; [Ghienne, Jean-Francois; Le Heron, Daniel Paul; Moreau, Julien; Deynoux, Max] CNRS, UMR 7517, Ctr Geochim Surface, Observ Sci Terre, F-67084 Strasbourg, France; [Le Heron, Daniel Paul] Leibniz Univ Hannover, Inst Geol, D-30167 Hannover, Germany; [Denis, Michael] Univ Bourgogne, UMR 5561, F-21000 Dijon, France</t>
  </si>
  <si>
    <t>Universites de Strasbourg Etablissements Associes; Universite de Strasbourg; Centre National de la Recherche Scientifique (CNRS); CNRS - National Institute for Earth Sciences &amp; Astronomy (INSU); Universites de Strasbourg Etablissements Associes; Universite de Strasbourg; Centre National de la Recherche Scientifique (CNRS); CNRS - National Institute for Earth Sciences &amp; Astronomy (INSU); Leibniz University Hannover; Universite de Bourgogne</t>
  </si>
  <si>
    <t>Ghienne, JF (corresponding author), CNRS, UMR 7517, Ctr Geochim Surface, Ecole Sci Terre, 1 Rue Blessig, F-67084 Strasbourg, France.</t>
  </si>
  <si>
    <t>ghienne@illite.u-strasbg.fr</t>
  </si>
  <si>
    <t>Le Heron, Daniel/AAK-7639-2020; Moreau, Julien/L-9241-2016</t>
  </si>
  <si>
    <t>Moreau, Julien/0000-0002-0686-9482; Ghienne, JF/0000-0002-9448-5285</t>
  </si>
  <si>
    <t>WOS:000286655000020</t>
  </si>
  <si>
    <t>Retallack, GJ; Greaver, T; Jahren, AH</t>
  </si>
  <si>
    <t>Retallack, Gregory J.; Greaver, Tara; Jahren, A. Hope</t>
  </si>
  <si>
    <t>Return to Coalsack Bluff and the Permian-Triassic boundary in Antarctica</t>
  </si>
  <si>
    <t>GLOBAL AND PLANETARY CHANGE</t>
  </si>
  <si>
    <t>32nd International Geological Congress</t>
  </si>
  <si>
    <t>Lystrosaurus; Glossopteris; Permian; Triassic; mass extinction; Antarctica</t>
  </si>
  <si>
    <t>CENTRAL TRANSANTARCTIC MOUNTAINS; PALEOCENE/EOCENE THERMAL MAXIMUM; CARBON-ISOTOPE EXCURSION; COMET IMPACT TRIGGER; MASS EXTINCTION; KAROO BASIN; SYDNEY BASIN; INTERPLANETARY DUST; METHANE HYDRATE; CLIMATE-CHANGE</t>
  </si>
  <si>
    <t>Coalsack Bluff was the first discovery site in Antarctica for the latest Permian to earliest Triassic reptile Lystrosaurus. This together with discovery of Permian Glossopteris leaves during the heroic age of Antarctic exploration, indicated not only that Antarctica was part of Gondwanaland, but also that Antarctic rocks recorded faunas from the greatest of all mass extinctions at the Permian-Triassic boundary. Pinpointing the exact stratigraphic level of this life crisis has recently become possible using delta C-13 values in terrestrial organic matter. Multiple, short-lived events of C-13 depletion may reflect carbon cycle crises, with the isotopic change a measure of terrestrial and atmospheric disequilibrium. Additional evidence for ecosystem reorganization came from changes in paleosol types and their root traces. Such studies previously completed at the Antarctic localities of Graphite Peak, Mount Crean, Portal Mountain, Shapeless Mountain and Allan Hills, are here extended to Coalsack Bluff. Carbon isotopic values in Permian rocks at Coalsack Bluff average -23.08 +/- 0.25 parts per thousand, but begin to decline within the last coal with leaves (Glossopteris), roots (Vertebraria) and permineralized stumps (Araucarioxylon) of glossopterids. The low point in a C-13 values is -27.19 parts per thousand at 5.6 m above the last coal, which is capped by unusually abundant pyrite, and a claystone breccia with common clasts of redeposited clayey soils. Above this are massive quartz-rich sandstones of braided streams, considered a geomorphic response to deforestation and soil erosion following the mass extinction. Distinctive berthierine-bearing paleosols (Dolores pedotype) within these sandstones have unoxidized iron taken as evidence of severe groundwater hypoxia. Other paleosols at this stratigraphic level are like those in other Early Triassic rocks of Antarctica, which indicate unusually warm and humid conditions for such high paleolatitude lowlands. Waterlogging is also indicated by newly discovered kinds of paleosol (Ernest pedotype) with groundwater calcretes. The lack of peat accumulation in such waterlogged lowlands, berthierine in paleosols and large negative carbon isotopic shift at Coalsack Bluff support the idea of atmospheric pollution with methane from submarine and permafrost clathrates as a cause for the Permian-Triassic mass extinction. Hypoxic soils would have killed lowland plants by preventing root respiration and hypoxic air would have challenged vertebrates with pulmonary edema. Causes for catastrophic methane release remain unclear. Flood basalt eruptions, dolerite intrusions into coal measures,. submarine landslides, tectonic faulting, and bolide impact suggested for episodes of methane release at other times are also plausible for the Permian-Triassic boundary. (C) 2006 Elsevier B.V. All rights reserved.</t>
  </si>
  <si>
    <t>Univ Oregon, Dept Geol Sci, Eugene, OR 97403 USA; Johns Hopkins Univ, Dept Earth &amp; Planetary Sci, Baltimore, MD 21218 USA</t>
  </si>
  <si>
    <t>University of Oregon; Johns Hopkins University</t>
  </si>
  <si>
    <t>Retallack, GJ (corresponding author), Univ Oregon, Dept Geol Sci, Eugene, OR 97403 USA.</t>
  </si>
  <si>
    <t>gregr@darkwing.uoregon.edu</t>
  </si>
  <si>
    <t>ELSEVIER</t>
  </si>
  <si>
    <t>RADARWEG 29, 1043 NX AMSTERDAM, NETHERLANDS</t>
  </si>
  <si>
    <t>0921-8181</t>
  </si>
  <si>
    <t>1872-6364</t>
  </si>
  <si>
    <t>GLOBAL PLANET CHANGE</t>
  </si>
  <si>
    <t>Glob. Planet. Change</t>
  </si>
  <si>
    <t>10.1016/j.gloplacha.2006.06.017</t>
  </si>
  <si>
    <t>133AL</t>
  </si>
  <si>
    <t>WOS:000243983900008</t>
  </si>
  <si>
    <t>Windberger, U; Baskurt, OK</t>
  </si>
  <si>
    <t>Baskurt, OK; Hardeman, MR; Rampling, MW; Meiselman, HJ</t>
  </si>
  <si>
    <t>Windberger, Ursula; Baskurt, Oguz K.</t>
  </si>
  <si>
    <t>Comparative Hemorheology</t>
  </si>
  <si>
    <t>HANDBOOK OF HEMORHEOLOGY AND HEMODYNAMICS</t>
  </si>
  <si>
    <t>Biomedical and Health Research</t>
  </si>
  <si>
    <t>RED-BLOOD-CELLS; MARGINAL-BAND MICROTUBULES; PLASMA VISCOSITY VALUES; ERYTHROCYTE AGGREGATION; WHOLE-BLOOD; RHEOLOGICAL PROPERTIES; OPTIMAL HEMATOCRIT; OXYGEN-TRANSPORT; ANTARCTIC FISHES; SKELETAL-MUSCLE</t>
  </si>
  <si>
    <t>[Windberger, Ursula] Med Univ Vienna, Decentralized Biomed Facil, Core Unit Biomed Res, A-1090 Vienna, Austria; [Baskurt, Oguz K.] Akdeniz Univ, Fac Med, Dept Physiol, TR-07058 Antalya, Turkey</t>
  </si>
  <si>
    <t>Medical University of Vienna; Akdeniz University</t>
  </si>
  <si>
    <t>Windberger, U (corresponding author), Med Univ Vienna, Decentralized Biomed Facil, Core Unit Biomed Res, Borschkegasse 8A, A-1090 Vienna, Austria.</t>
  </si>
  <si>
    <t>ursula.windberger@meduniwien.ac.at</t>
  </si>
  <si>
    <t>Windberger, Ursula/AAF-6391-2020</t>
  </si>
  <si>
    <t>Windberger, Ursula/0000-0002-5800-9089</t>
  </si>
  <si>
    <t>IOS PRESS</t>
  </si>
  <si>
    <t>NIEUWE HEMWEG 6B, 1013 BG AMSTERDAM, NETHERLANDS</t>
  </si>
  <si>
    <t>0929-6743</t>
  </si>
  <si>
    <t>978-1-58603-771-0</t>
  </si>
  <si>
    <t>BIOMED HEALTH RES</t>
  </si>
  <si>
    <t>Biom. Health Res.</t>
  </si>
  <si>
    <t>Hematology; Peripheral Vascular Disease</t>
  </si>
  <si>
    <t>Hematology; Cardiovascular System &amp; Cardiology</t>
  </si>
  <si>
    <t>BMA89</t>
  </si>
  <si>
    <t>WOS:000271698300017</t>
  </si>
  <si>
    <t>Buoncristiani, JF; Guiraud, M; Denis, M</t>
  </si>
  <si>
    <t>Buoncristiani, Jean-Francois; Guiraud, Michel; Denis, Mickael</t>
  </si>
  <si>
    <t>Ordovician paleo ice stream glacial landsystem</t>
  </si>
  <si>
    <t>HOUILLE BLANCHE-REVUE INTERNATIONALE DE L EAU</t>
  </si>
  <si>
    <t>SEDIMENT DEFORMATION; ANTARCTIC PENINSULA; SHEET; DEPOSITS; EROSION; BASIN; ENVIRONMENTS; MORPHOLOGY; TRANSPORT; DYNAMICS</t>
  </si>
  <si>
    <t>On Contemporary Ice streams the most important factor controlling polar ice-sheet sheet stability and ice flowing occurs in ice streams. On Pleistocene Ice Sheet, Ice stream can be located using several geomorphologic criteria predict from known characteristic of contemporary ice streams, these criteria defining the conceptual Ice Stream land system model. But nowadays, during fossil glaciations, ice streams characterization is still poorly documented and only few studies illustrate fast ice velocity. In this work, we characterize geomorphological markers of ice stream activity in order to define the Ordovician ice stream glacial landsystem. The study area is located in Sahara from Niger to Algeria. In this area, Ordovician glacial landforms have been investigated using satellite images and field investigations. According to these observations, Ordovician paleo ice stream are characterize by their size (20 to 200 km), by the increase of the length or ratio L/l of sub-glacial lineations changing from ice flute to mega scale glacial lineation at the margin of the ice sheet, by the evolution of sub glacial valley morphology ranging from areal scouring to glacial linear incision, and by sub glacial deformation. Finally, marine outlet of ice stream show ice contact deltas deposit. Individually, these criteria may not necessarily be exclusive to ice stream activity, but collectively they are thought to discriminate the characteristic Ordovician ice stream landsystem.</t>
  </si>
  <si>
    <t>Univ Bourgogne 6, Ctr Sci Terre, CNRS, UMR 5561 Biogeosci Dijon, F-21000 Dijon, France</t>
  </si>
  <si>
    <t>Universite de Bourgogne; Centre National de la Recherche Scientifique (CNRS)</t>
  </si>
  <si>
    <t>Buoncristiani, JF (corresponding author), Univ Bourgogne 6, Ctr Sci Terre, CNRS, UMR 5561 Biogeosci Dijon, Blvd Gabriel, F-21000 Dijon, France.</t>
  </si>
  <si>
    <t>jfbuon@u-bourgogne.fr</t>
  </si>
  <si>
    <t>Guiraud, Michel/KBC-3739-2024; Buoncristiani, Jean francois/AAE-1964-2019</t>
  </si>
  <si>
    <t>Guiraud, Michel/0000-0003-3125-8947; Buoncristiani, Jean francois/0000-0001-5447-5640</t>
  </si>
  <si>
    <t>EDP SCIENCES S A</t>
  </si>
  <si>
    <t>LES ULIS CEDEX A</t>
  </si>
  <si>
    <t>17, AVE DU HOGGAR, PA COURTABOEUF, BP 112, F-91944 LES ULIS CEDEX A, FRANCE</t>
  </si>
  <si>
    <t>0018-6368</t>
  </si>
  <si>
    <t>1958-5551</t>
  </si>
  <si>
    <t>HOUILLE BLANCHE</t>
  </si>
  <si>
    <t>Houille Blanche-Rev. Int.</t>
  </si>
  <si>
    <t>10.1051/lhb:2007039</t>
  </si>
  <si>
    <t>Water Resources</t>
  </si>
  <si>
    <t>201WB</t>
  </si>
  <si>
    <t>WOS:000248862200016</t>
  </si>
  <si>
    <t>Keller, K; Kim, SR; Baehr, J; Bradford, DF; Oppenheimer, M</t>
  </si>
  <si>
    <t>Schlesinger, ME; Kheshgi, HS; Smith, J; DeLaChesnaye, FC; Reilly, JM; Wilson, T; Kolstad, C</t>
  </si>
  <si>
    <t>Keller, Klaus; Kim, Seung-Rae; Baehr, Johanna; Bradford, David F.; Oppenheimer, Michael</t>
  </si>
  <si>
    <t>What is the economic value of information about climate thresholds?</t>
  </si>
  <si>
    <t>HUMAN-INDUCED CLIMATE CHANGE: AN INTERDISCIPLINARY ASSESSMENT</t>
  </si>
  <si>
    <t>MERIDIONAL OVERTURNING CIRCULATION; ANTARCTIC ICE-SHEET; SEA-LEVEL CHANGES; OCEAN-ATMOSPHERE MODEL; NORTH-ATLANTIC; THERMOHALINE CIRCULATION; TEMPERATURE-CHANGE; CARBON-DIOXIDE; DEEP-WATER; OSCILLATIONS</t>
  </si>
  <si>
    <t>[Keller, Klaus] Penn State Univ, Dept Geosci, University Pk, PA 16802 USA; [Kim, Seung-Rae] Princeton Univ, Woodrow Wilson Sch, Princeton, NJ 08544 USA; [Kim, Seung-Rae] Princeton Univ, Dept Econ, Princeton, NJ 08544 USA; [Oppenheimer, Michael] Princeton Univ, Dept Geosci, Princeton, NJ 08544 USA</t>
  </si>
  <si>
    <t>Pennsylvania Commonwealth System of Higher Education (PCSHE); Pennsylvania State University; Pennsylvania State University - University Park; Princeton University; Princeton University; Princeton University</t>
  </si>
  <si>
    <t>Keller, K (corresponding author), Penn State Univ, Dept Geosci, 208 Deike Bldg, University Pk, PA 16802 USA.</t>
  </si>
  <si>
    <t>Keller, Klaus/A-6742-2013</t>
  </si>
  <si>
    <t>978-0-521-86603-3</t>
  </si>
  <si>
    <t>10.1017/CBO9780511619472.033</t>
  </si>
  <si>
    <t>10.1017/CBO9780511619472</t>
  </si>
  <si>
    <t>BXS61</t>
  </si>
  <si>
    <t>WOS:000296905500033</t>
  </si>
  <si>
    <t>Krokhin, VV; Luxemburg, WMJ</t>
  </si>
  <si>
    <t>Krokhin, V. V.; Luxemburg, W. M. J.</t>
  </si>
  <si>
    <t>Temperatures and precipitation totals over the Russian Far East and Eastern Siberia: long-term variability and its links to teleconnection indices</t>
  </si>
  <si>
    <t>HYDROLOGY AND EARTH SYSTEM SCIENCES</t>
  </si>
  <si>
    <t>PRINCIPAL COMPONENT ANALYSIS; ANTARCTIC CIRCUMPOLAR WAVE; ASIAN SUMMER MONSOON; NEW-ZEALAND CLIMATE; SEA-LEVEL PRESSURE; ARCTIC OSCILLATION; EXTRATROPICAL CIRCULATION; INTERDECADAL VARIABILITY; SURFACE-TEMPERATURE; ANNULAR MODES</t>
  </si>
  <si>
    <t>The present study examines the spatial-temporal regime of the mean monthly temperature (MMT) and monthly precipitation (MPT) anomalies over the Russian Far East and Eastern Siberia for the period 1949-2003. The original data were analyzed spatially by means of complex principal component analysis and temporally by means of the maximum entropy method and traditional Fourier spectral analysis. The interannual variability in these anomalies can be represented by the single dominant modes. These dominant modes oscillate with periods of about 2-3 yr and 6-8 yr that are accompanied by statistically significant changes in such monthly teleconnection indices, as the Arctic and North Pacific Oscillations.</t>
  </si>
  <si>
    <t>[Krokhin, V. V.] FEB RAS, Pacific Ist Geog, Lab Nat Syst Modeling, Moscow, Russia; [Luxemburg, W. M. J.] Delft Univ Technol, Fac Civil Engn, Sect Water Resources, NL-2600 AA Delft, Netherlands</t>
  </si>
  <si>
    <t>Russian Academy of Sciences; Pacific Geographical Institute of the Far Eastern Branch of the Russian Academy of Sciences; Delft University of Technology</t>
  </si>
  <si>
    <t>Krokhin, VV (corresponding author), FEB RAS, Pacific Ist Geog, Lab Nat Syst Modeling, Moscow, Russia.</t>
  </si>
  <si>
    <t>krokhin@mail.ru</t>
  </si>
  <si>
    <t>Krokhin, Vladimir/P-1328-2019</t>
  </si>
  <si>
    <t>Krokhin, Vladimir/0000-0001-5584-2465</t>
  </si>
  <si>
    <t>1027-5606</t>
  </si>
  <si>
    <t>1607-7938</t>
  </si>
  <si>
    <t>HYDROL EARTH SYST SC</t>
  </si>
  <si>
    <t>Hydrol. Earth Syst. Sci.</t>
  </si>
  <si>
    <t>10.5194/hess-11-1831-2007</t>
  </si>
  <si>
    <t>Geosciences, Multidisciplinary; Water Resources</t>
  </si>
  <si>
    <t>Geology; Water Resources</t>
  </si>
  <si>
    <t>246HQ</t>
  </si>
  <si>
    <t>WOS:000251998500011</t>
  </si>
  <si>
    <t>Noakes, TD</t>
  </si>
  <si>
    <t>Roach, RC; Wagner, PD; Hackett, PH</t>
  </si>
  <si>
    <t>Noakes, Timothy David</t>
  </si>
  <si>
    <t>The limits of human endurance: What is the greatest endurance performance of all time? Which factors regulate performance at extreme altitude?</t>
  </si>
  <si>
    <t>HYPOXIA AND THE CIRCULATION</t>
  </si>
  <si>
    <t>Advances in Experimental Medicine and Biology</t>
  </si>
  <si>
    <t>15th International Hypoxia Symposium</t>
  </si>
  <si>
    <t>FEB 27-MAR 04, 2007</t>
  </si>
  <si>
    <t>Lake Louise, CANADA</t>
  </si>
  <si>
    <t>energy expenditure; heart; central governor; evolution; hunting</t>
  </si>
  <si>
    <t>OPERATION EVEREST-II; MAXIMAL OXYGEN-UPTAKE; SKELETAL-MUSCLE RECRUITMENT; CENTRAL NEURAL REGULATION; EXERCISE PERFORMANCE; ANTICIPATORY REDUCTION; SIMULATED ASCENT; CARDIAC-OUTPUT; ENERGY-BALANCE; FATIGUE</t>
  </si>
  <si>
    <t>Humans evolved as an athletic species able to run in the midday heat, to throw with exquisite accuracy and to strike powerfully despite relatively weak upper arms compared to those of the great apes. The true extent to which humans could run long distances was first tested in a unique series of 6-day foot races contested between 1874 and 1888 by professional athletes from England and the United States. These athletes typically would have expended approximately 60 000kcal (24.12MJ) of energy during these races. The discovery of the bicycle soon caused the replacement of these races by 6-day cycling races which, in turn, led to the modem day Tour de France, the cycling race across America (RaAM) and two running races across the width of the United States in 1928 and 1929. The total energy expenditures during these different events can be estimated at approximately 168 000, 180 000 and 340 000kcal respectively. But, in terms of the total energy expenditure, all these performances pale somewhat when compared to that of Robert Falcon Scott's Polar party during the 1911/12 British Antarctic Expedition. For most of 159 consecutive days, Scott's team man-hauled for 10 hours a day to the South Pole and back covering a distance of 2 500km. Their predicted total energy expenditure per individual would have been about 1 million kcal, making theirs, by some margin, the greatest sustained endurance athletic performance of all time. Interestingly, the dogs that provided the pulling power for Norwegian Roald Amundsen's team that was the first to reach the South Pole, 35 days before Scott's party, would have expended about 500 000kcal in their 97 day trip, making theirs the greatest animal sporting performance on record. By contrast, mountain climbers expend only approximately 4 000kcal/day when climbing at extreme altitudes (above 4 000m). This relatively low rate of energy expenditure results from the low exercise intensities that can be sustained at extreme altitude. Here I argue that this slow rate of energy expenditure is caused, not by either myocardial or skeletal muscle hypoxia as is usually argued, but is more likely the result of a process integrated centrally in the brain, the function of which is to protect the body from harm. At extreme altitude the organ at greatest risk is the brain which must be protected from the catastrophic consequences of profound hypoxia. A key feature of this control is that it acts in anticipation specifically to insure that a catastrophic biological failure does not occur. The evidence for this interpretation is presented.</t>
  </si>
  <si>
    <t>Univ Cape Town, Dept Human Biol, Sport Sci Inst S Africa, MRC UCT Res Unit Exercise Sci &amp; Sports Med, ZA-7925 Newlands, South Africa</t>
  </si>
  <si>
    <t>University of Cape Town</t>
  </si>
  <si>
    <t>Noakes, TD (corresponding author), Univ Cape Town, Dept Human Biol, Sport Sci Inst S Africa, MRC UCT Res Unit Exercise Sci &amp; Sports Med, Boundary Rd, ZA-7925 Newlands, South Africa.</t>
  </si>
  <si>
    <t>timothy.noakes@uct.ac.za</t>
  </si>
  <si>
    <t>Noakes, Timothy D./E-7253-2011; Noakes, Tim/AAD-3162-2020; Rodríguez, Ferran A. A/H-4892-2011</t>
  </si>
  <si>
    <t>Noakes, Timothy D./0000-0001-7244-2375; Noakes, Tim/0000-0001-7244-2375;</t>
  </si>
  <si>
    <t>0065-2598</t>
  </si>
  <si>
    <t>2214-8019</t>
  </si>
  <si>
    <t>978-0-387-75433-8</t>
  </si>
  <si>
    <t>ADV EXP MED BIOL</t>
  </si>
  <si>
    <t>Adv.Exp.Med.Biol.</t>
  </si>
  <si>
    <t>Cardiac &amp; Cardiovascular Systems; Medicine, Research &amp; Experimental; Respiratory System</t>
  </si>
  <si>
    <t>Cardiovascular System &amp; Cardiology; Research &amp; Experimental Medicine; Respiratory System</t>
  </si>
  <si>
    <t>BHE62</t>
  </si>
  <si>
    <t>WOS:000252483900020</t>
  </si>
  <si>
    <t>Ryan, PG; Phillips, RA; Nel, DC; Wood, AG</t>
  </si>
  <si>
    <t>Ryan, Peter G.; Phillips, Richard A.; Nel, Deon C.; Wood, Andrew G.</t>
  </si>
  <si>
    <t>Breeding frequency in Grey-headed Albatrosses Thalassarche chrysostoma</t>
  </si>
  <si>
    <t>IBIS</t>
  </si>
  <si>
    <t>HIGH ANNUAL VARIABILITY; PRINCE EDWARD ISLANDS; REPRODUCTIVE SUCCESS; DIOMEDEA-MELANOPHRIS; POPULATION-DYNAMICS; SEABIRD MORTALITY; BODY CONDITION; BIRD-ISLAND; NEW-ZEALAND; SURVIVAL</t>
  </si>
  <si>
    <t>Although Grey-headed Albatrosses Thalassarche chrysostoma are usually regarded as biennial breeders, taking a year off following a successful breeding attempt, a small proportion of successful birds attempt to breed annually. This proportion was higher at Marion Island (5.4%) than at Bird Island, South Georgia (1.0%), suggesting that conditions are more favourable at Marion Island. This hypothesis is supported by higher average breeding success and shorter lags following both successful and failed breeding attempts at Marion Island. Factors favouring reproduction at Marion Island may include reduced intraspecific competition (given the much smaller breeding population) and/or more predictable food supply (owing to production of meso-scale eddies associated with the Indian Ocean Ridge). Although annual breeding appeared to increase the risk of adult mortality, with several birds that attempted to breed annually found dead the following year, at least some birds greatly enhanced their reproductive output, with one male raising five chicks in five successive years. Contrary to life-history theory, there was no evidence that older birds were more likely to attempt annual breeding because of declining reproductive value.</t>
  </si>
  <si>
    <t>Univ Cape Town, Percy Fitzpatrick Inst, NRF Ctr Excellence, DST, ZA-7701 Rondebosch, South Africa; British Antarctic Survey, NERC, Cambridge CB3 0ET, England</t>
  </si>
  <si>
    <t>National Research Foundation - South Africa; University of Cape Town; UK Research &amp; Innovation (UKRI); Natural Environment Research Council (NERC); NERC British Antarctic Survey</t>
  </si>
  <si>
    <t>Ryan, PG (corresponding author), Univ Cape Town, Percy Fitzpatrick Inst, NRF Ctr Excellence, DST, ZA-7701 Rondebosch, South Africa.</t>
  </si>
  <si>
    <t>pryan@botzoo.uct.ac.za</t>
  </si>
  <si>
    <t>Ryan, Peter/0000-0002-3356-2056</t>
  </si>
  <si>
    <t>0019-1019</t>
  </si>
  <si>
    <t>1474-919X</t>
  </si>
  <si>
    <t>Ibis</t>
  </si>
  <si>
    <t>125WQ</t>
  </si>
  <si>
    <t>WOS:000243474600006</t>
  </si>
  <si>
    <t>Everson, I; Tarling, GA; Bergström, B</t>
  </si>
  <si>
    <t>Everson, Inigo; Tarling, Geraint A.; Bergstrom, Bo</t>
  </si>
  <si>
    <t>Improving acoustic estimates of krill:: experience from repeat sampling of northern krill (Meganyctiphanes norvegica) in Gullmarsfjord, Sweden</t>
  </si>
  <si>
    <t>ICES JOURNAL OF MARINE SCIENCE</t>
  </si>
  <si>
    <t>acoustic surveys; dB difference; Meganyctiphanes norvegica; northern krill</t>
  </si>
  <si>
    <t>EUPHAUSIA-SUPERBA; ZOOPLANKTON COMMUNITY; TERM VARIATIONS; FJORD</t>
  </si>
  <si>
    <t>A series of eight replicated acoustic surveys, four by day and four by night, was undertaken in Gullmarsfjord on the Swedish west coast during two 24-h periods on 8 and 10 September 2003, using a calibrated echosounder operating at 120 and 38 kHz. The difference in signal strength (Delta S-v was used to distinguish northern krill (Meganyctiphanes norvegica) from other acoustic scatterers. The approach is concluded to be very effective, but it can be improved greatly by applying the following series of simple extensions to current protocols: first, set a very low threshold on both frequencies to minimize sampling bias; second, undertake tests to confirm that the data extracted from each acoustic frequency apply to the same scatterers, third, ensure that the range of Delta S-v is not greater than the TSrange at either frequency; and finally, when abundance estimation is the primary aim, arrange for sampling at the time of day and using the acoustic frequency that together provide the least variance.</t>
  </si>
  <si>
    <t>Anglia Ruskin Univ, Environm Sci Res Ctr, Cambridge CB2 1PT, England; British Antarctic Survey, NERC, Cambridge CB3 0ET, England; Kristineberg Marine Res Stn, S-45054 Fisksebackskil, Sweden</t>
  </si>
  <si>
    <t>Anglia Ruskin University; UK Research &amp; Innovation (UKRI); Natural Environment Research Council (NERC); NERC British Antarctic Survey</t>
  </si>
  <si>
    <t>Everson, I (corresponding author), Anglia Ruskin Univ, Environm Sci Res Ctr, Cambridge CB2 1PT, England.</t>
  </si>
  <si>
    <t>i.everson@anglia.ac.uk</t>
  </si>
  <si>
    <t>1054-3139</t>
  </si>
  <si>
    <t>ICES J MAR SCI</t>
  </si>
  <si>
    <t>ICES J. Mar. Sci.</t>
  </si>
  <si>
    <t>10.1093/icesjms/fsl010</t>
  </si>
  <si>
    <t>Fisheries; Marine &amp; Freshwater Biology; Oceanography</t>
  </si>
  <si>
    <t>173HY</t>
  </si>
  <si>
    <t>WOS:000246865300005</t>
  </si>
  <si>
    <t>Sulaiman, S; Alauddin, M; Ali, M; Yatim, B</t>
  </si>
  <si>
    <t>Ismail, M; Mohamad, H; Ali, BM; Anuar, K</t>
  </si>
  <si>
    <t>Sulaiman, Sumazly; Alauddin, Mohd; Ali, Mohd; Yatim, Baharudin</t>
  </si>
  <si>
    <t>Ionospheric GPS-TEC during the 2004 major storm events at Scott Base station Antarctica</t>
  </si>
  <si>
    <t>ICT-MICC: 2007 IEEE INTERNATIONAL CONFERENCE ON TELECOMMUNICATIONS AND MALAYSIA INTERNATIONAL CONFERENCE ON COMMUNICATIONS, VOLS 1 AND 2, PROCEEDINGS</t>
  </si>
  <si>
    <t>IEEE International Conference on Telecommunications/IEEE Malaysia International Conference on Communications (ICT-MICC 2007)</t>
  </si>
  <si>
    <t>MAY 14-17, 2007</t>
  </si>
  <si>
    <t>Penang, MALAYSIA</t>
  </si>
  <si>
    <t>F2 layer; geomagnetic storm; GPS; ionosonde; TEC</t>
  </si>
  <si>
    <t>In this work, we investigate the characteristics of the 2004 major storm events based on GPS-TEC measurement at Scott Base station Antarctica (77.9 degrees S, 166.8 degrees E). The F2 layer critical frequencies and peak height during the storm from the ionosonde measurement at the station are also investigated. Our main emphasis will be on the characteristics and response during major storms events. Our results will include the daily GPS-TEC and F2 layer critical frequencies and peak height from KEL IPS-42 ionosonde measurements at Scott Base Station. For the year 2004, 4. storm days are classified as major storms, which have occurred on 27th July 2004, referred to as Storm-A and on Wit to loth November 2004 referred to as Storm-B. The World Data Center (WDC) Kp, Dst, and Ap highest indices for Storm-A is 9, 197 nT, and 162 respectively while for Storm-B is 9, -373 nT, and 189 respectively. The response of the ionosphere will provide us some indicators of the processes and geophysical changes of the Sun-Heliospheric system during the intense geomagnetic storm period.</t>
  </si>
  <si>
    <t>[Sulaiman, Sumazly] Univ Malaysia Terengganu, Dept Comp Sci, Kuala Terengganu, Malaysia; [Alauddin, Mohd; Ali, Mohd] Univ Kebangsaan Malaysia, Fac Engn, Elect Elect &amp; Syst Dept, Bangi 43600, Malaysia; [Yatim, Baharudin] Univ Kebangsaan Malaysia, Inst Space Sci, Bangi 43600, Malaysia</t>
  </si>
  <si>
    <t>Universiti Malaysia Terengganu; Universiti Kebangsaan Malaysia; Universiti Kebangsaan Malaysia</t>
  </si>
  <si>
    <t>Sulaiman, S (corresponding author), Univ Malaysia Terengganu, Dept Comp Sci, Kuala Terengganu, Malaysia.</t>
  </si>
  <si>
    <t>sumazly@umt.edu.my; mama@vlsi.eng.ukm.my</t>
  </si>
  <si>
    <t>Academy of Sciences Malaysia (ASM) under the Antarctic New Zealand [K141Z]; Ministry of Science, Technology and Innovation Malaysia (MOSTI)</t>
  </si>
  <si>
    <t>Academy of Sciences Malaysia (ASM) under the Antarctic New Zealand; Ministry of Science, Technology and Innovation Malaysia (MOSTI)(Ministry of Energy, Science, Technology, Environment and Climate Change (MESTECC), Malaysia)</t>
  </si>
  <si>
    <t>This work is supported by the Academy of Sciences Malaysia (ASM) under the Antarctic New Zealand K141Z grant. The authors would like to express their gratitude to ASM and Ministry of Science, Technology and Innovation Malaysia (MOSTI) for sponsoring this research and staffs of Antarctica New Zealand for their logistic support and hospitality at Scott Base and University of Canterbury who provide us with the ionosonde data. We would like to acknowledge Dr Zainol Abidin Abdul Rashid (deceased on 8th October 2006) who initiated this project.</t>
  </si>
  <si>
    <t>IEEE</t>
  </si>
  <si>
    <t>345 E 47TH ST, NEW YORK, NY 10017 USA</t>
  </si>
  <si>
    <t>978-1-4244-1093-4</t>
  </si>
  <si>
    <t>Engineering, Electrical &amp; Electronic; Telecommunications</t>
  </si>
  <si>
    <t>Engineering; Telecommunications</t>
  </si>
  <si>
    <t>BHS91</t>
  </si>
  <si>
    <t>WOS:000256016500054</t>
  </si>
  <si>
    <t>Benítez, MC; Ramírez, J; Segura, JC; Ibáñez, JM; Almendros, J; García-Yeguas, A; Cortés, G</t>
  </si>
  <si>
    <t>Benitez, M. C.; Ramirez, Javier; Segura, Jose C.; Ibanez, Jesus M.; Almendros, Javier; Garcia-Yeguas, Araceli; Cortes, Guillermo</t>
  </si>
  <si>
    <t>Continuous HMM-based seismic-event classification at Deception Island, Antarctica</t>
  </si>
  <si>
    <t>IEEE TRANSACTIONS ON GEOSCIENCE AND REMOTE SENSING</t>
  </si>
  <si>
    <t>Deception Island; hidden Markov modeling (HMM); seismic-event classification; volcano monitoring</t>
  </si>
  <si>
    <t>SPEECH RECOGNITION; MAXIMUM-LIKELIHOOD; BRANSFIELD STRAIT; NEURAL-NETWORKS; VOLCANO; ALGORITHM; SIGNALS</t>
  </si>
  <si>
    <t>This paper shows a complete seismic-event classification and monitoring system that has been developed based on the seismicity observed during three summer Antarctic surveys at the Deception Island Volcano, Antarctica. The system is based on the state of the art in hidden Markov modeling (HMM) techniques successfully applied to other scenarios. A database that contains a representative set of different seismic events in- cluding volcano-tectonic earthquakes, long period (LP) events, volcanic tremor, and hybrid events that were recorded during the 1994-1995 and 1995-1996 seismic surveys was collected for training and testing. Simple left-to-right HMMs and multivariate Gaussian probability density functions with a diagonal covariance matrix were used. The feature vector consists of the log-energies of a filter bank that consists of 16 triangular weighting functions that were uniformly spaced between 0 and 20 Hz and the first and second-order derivatives. The system is suitable to operate in real time, and its accuracy for this task is about 90%. On the other hand, when the system was tested with a different data set including mainly LP events that were registered during several seismic swarms during the 2001-2002 field survey, more than 95% of the recognized events were marked by the recognition system.</t>
  </si>
  <si>
    <t>Univ Granada, Dept Teor Senal Telemat &amp; Comun, Granada 18071, Spain; Univ Granada, Inst Andaluz Geofis, Granada 18071, Spain</t>
  </si>
  <si>
    <t>University of Granada; University of Granada</t>
  </si>
  <si>
    <t>Benítez, MC (corresponding author), Univ Granada, Dept Teor Senal Telemat &amp; Comun, Granada 18071, Spain.</t>
  </si>
  <si>
    <t>javierrp@ugr.es</t>
  </si>
  <si>
    <t>IBANEZ, JESUS M/G-9910-2019; Segura, Jose/B-7008-2008; Cortés, Guillermo/L-1808-2019; Ramírez, Javier/IWU-5624-2023; Ramírez, Javier/B-1836-2012; Almendros, Javier/M-2468-2014; Benitez Ortuzar, M. Carmen/C-2424-2012</t>
  </si>
  <si>
    <t>IBANEZ, JESUS M/0000-0002-9846-8781; Segura, Jose/0000-0003-3746-0978; Cortés, Guillermo/0000-0003-2664-9564; Ramírez, Javier/0000-0002-6229-2921; Almendros, Javier/0000-0001-5936-6160; Garcia Yeguas, Maria Araceli/0000-0003-1555-4463; Benitez Ortuzar, M. Carmen/0000-0002-5407-8335</t>
  </si>
  <si>
    <t>IEEE-INST ELECTRICAL ELECTRONICS ENGINEERS INC</t>
  </si>
  <si>
    <t>PISCATAWAY</t>
  </si>
  <si>
    <t>445 HOES LANE, PISCATAWAY, NJ 08855 USA</t>
  </si>
  <si>
    <t>0196-2892</t>
  </si>
  <si>
    <t>IEEE T GEOSCI REMOTE</t>
  </si>
  <si>
    <t>IEEE Trans. Geosci. Remote Sensing</t>
  </si>
  <si>
    <t>10.1109/TGRS.2006.882264</t>
  </si>
  <si>
    <t>Geochemistry &amp; Geophysics; Engineering, Electrical &amp; Electronic; Remote Sensing; Imaging Science &amp; Photographic Technology</t>
  </si>
  <si>
    <t>Geochemistry &amp; Geophysics; Engineering; Remote Sensing; Imaging Science &amp; Photographic Technology</t>
  </si>
  <si>
    <t>121QU</t>
  </si>
  <si>
    <t>WOS:000243172900013</t>
  </si>
  <si>
    <t>Rott, H; Rack, W; Nagler, T</t>
  </si>
  <si>
    <t>Rott, Helmut; Rack, Wolfgang; Nagler, Thomas</t>
  </si>
  <si>
    <t>Increased export of grounded ice after the collapse of northern Larsen Ice Shelf, Antarctic Peninsula, observed by Envisat ASAR</t>
  </si>
  <si>
    <t>IGARSS: 2007 IEEE INTERNATIONAL GEOSCIENCE AND REMOTE SENSING SYMPOSIUM, VOLS 1-12: SENSING AND UNDERSTANDING OUR PLANET</t>
  </si>
  <si>
    <t>IEEE International Symposium on Geoscience and Remote Sensing IGARSS</t>
  </si>
  <si>
    <t>IEEE International Geoscience and Remote Sensing Symposium (IGARSS)</t>
  </si>
  <si>
    <t>JUL 23-27, 2007</t>
  </si>
  <si>
    <t>Barcelona, SPAIN</t>
  </si>
  <si>
    <t>Envisat; ASAR; Antarctica; Larsen Ice Shelf</t>
  </si>
  <si>
    <t>RETREAT; PATTERN</t>
  </si>
  <si>
    <t>Time series of satellite radar image data of Envisat ASAR were used to study the retreat of ice shelves and glaciers at northern Larsen Ice Shelf, Antarctic Peninsula, up to March 2007. After the disintegration event in March 2002, the small remaining ice shelf section of Larsen B decreased further in area. The retreat of grounded glacier ice continued also. The glacier velocities above previous Larsen 43 increased further since 2004, but the acceleration has been smaller than in the first two years after the collapse in 2002. Ice export increased rapidly after the glaciers started to calve directly into the ocean. The sea level contribution due to discharge of grounded ice above the disintegrated ice shelf sections amounts to about 6% of the present glacier and ice sheet contribution to sea level rise.</t>
  </si>
  <si>
    <t>[Rott, Helmut] Univ Innsbruck, Inst Meteorol &amp; Geophys, A-6020 Innsbruck, Austria; [Rack, Wolfgang] Univ Canterbury, Christchurch, New Zealand; [Nagler, Thomas] ENVEO IT GmbH, A-6020 Innsbruck, Austria</t>
  </si>
  <si>
    <t>University of Innsbruck; University of Canterbury</t>
  </si>
  <si>
    <t>Rott, H (corresponding author), Univ Innsbruck, Inst Meteorol &amp; Geophys, A-6020 Innsbruck, Austria.</t>
  </si>
  <si>
    <t>Helmut.Rott@uibk.ac.at</t>
  </si>
  <si>
    <t>Rack, Wolfgang/U-8898-2017</t>
  </si>
  <si>
    <t>Rack, Wolfgang/0000-0003-2447-377X</t>
  </si>
  <si>
    <t>ESA for projects ERS [AO3.108]; Envisat [AOE-308]</t>
  </si>
  <si>
    <t>ESA for projects ERS; Envisat</t>
  </si>
  <si>
    <t>The satellite images were kindly made available by ESA for projects ERS AO3.108 (VECTRA) and Envisat AOE-308.</t>
  </si>
  <si>
    <t>2153-6996</t>
  </si>
  <si>
    <t>978-1-4244-1211-2</t>
  </si>
  <si>
    <t>INT GEOSCI REMOTE SE</t>
  </si>
  <si>
    <t>10.1109/IGARSS.2007.4423013</t>
  </si>
  <si>
    <t>Engineering, Electrical &amp; Electronic; Geosciences, Multidisciplinary; Remote Sensing</t>
  </si>
  <si>
    <t>Engineering; Geology; Remote Sensing</t>
  </si>
  <si>
    <t>BHV03</t>
  </si>
  <si>
    <t>WOS:000256657301078</t>
  </si>
  <si>
    <t>Yamanokuchi, T; Doi, K; Shibuya, K</t>
  </si>
  <si>
    <t>Yamanokuchi, Tsutomu; Doi, Koichiro; Shibuya, Kazuo</t>
  </si>
  <si>
    <t>Combined use of InSAR and ICESat/GLAS data for high accuracy DEM generation on Antarctica</t>
  </si>
  <si>
    <t>component; InSAR; antarctica; ICESat; GLAS; ice sheet elevation</t>
  </si>
  <si>
    <t>This study aims to use ICESat /GLAS data for correction of DEM made from Interferometric SAR data instead of traditional Ground Control Points (GCPs) collected by ground survey. GLAS is a laser altimeter system and it can measure the earth surface topography with ultimate vertical accuracy (+/- 14cm) and high spatial accuracy (+/- 15m). Therefore, we can treat CLAS data for the reference of height and position on Antarctic ice sheet. We applied this method at south of Breivika. The elevation values derived by ERS-1/2 InSAR DEM have insufficient height accuracy compared to GLAS data due to insufficient baseline estimation, ice flow appeared in the fringe pattern, and difficulty of phase unwrapping, which is RMS +/- 284.0m compared with GLAS data. After the correction of InSAR DEM using GLAS data, it improved to +/- 32.6m. Next, we validated this result using the 28(th) JARE (Japanese Antarctic Research Expedition) GPS survey result. The RMS height difference between JARE GPS result and corrected InSAR DEM showed +/- 39.5m. The result showed that our correction method works quite well and we can produce spatially dense and high accuracy DEM along with Antarctic coast line. The one remaining problem is how to reduce the effect of ice flow appeared in the fringe pattern.</t>
  </si>
  <si>
    <t>[Yamanokuchi, Tsutomu] Remote Sensing Technol Ctr Japan, Minato Ku, 12F,Roppongi 1st BLDG,1-9-9 Roppongi, Tokyo, Japan; [Doi, Koichiro; Shibuya, Kazuo] Natl Inst Polar Res, Tokyo, Tokyo, Japan</t>
  </si>
  <si>
    <t>Yamanokuchi, T (corresponding author), Remote Sensing Technol Ctr Japan, Minato Ku, 12F,Roppongi 1st BLDG,1-9-9 Roppongi, Tokyo, Japan.</t>
  </si>
  <si>
    <t>tsutomuy@restec.or.jp</t>
  </si>
  <si>
    <t>10.1109/IGARSS.2007.4423028</t>
  </si>
  <si>
    <t>WOS:000256657301093</t>
  </si>
  <si>
    <t>Caspar, C; Colin, O; Laur, H; Tell, BR; Mathot, E; Tandurella, G; Goncalves, P; Brito, F</t>
  </si>
  <si>
    <t>Caspar, Christophe; Colin, Olivier; Laur, Henri; Tell, Betlem Rosich; Mathot, Emmanuel; Tandurella, Giuseppe; Goncalves, Pedro; Brito, Fabrice</t>
  </si>
  <si>
    <t>Generation of ENVISAT ASAR mosaics accessible on-line</t>
  </si>
  <si>
    <t>SAR; map servers, OpenGIS, GRID, mosaics</t>
  </si>
  <si>
    <t>This paper describes the routine generation of ASAR mosaics at ESRIN and their distribution via web map servers. ASAR products are automatically collected from various processing sites to be geocoded and mosaicked on the GRID Processing on Demand system at ESRIN. New mosaics are automatically transferred to an OpenGIS web map server where they can be directly visualized at full resolution by external users. The generation of mosaics involves several processing steps including antenna pattern correction and compensation of incidence angle depending on vegetation type. Several map projections are supported including polar stereographic projections (Arctic and Antarctic's) as well as Plate Carree projections (entire World).</t>
  </si>
  <si>
    <t>[Caspar, Christophe; Colin, Olivier; Laur, Henri; Tell, Betlem Rosich] European Space Agcy, ESRIN, Frascati, Italy; [Mathot, Emmanuel] Crit Software, Coimbra, Portugal; [Tandurella, Giuseppe] SERCO, Frascati, Italy; [Goncalves, Pedro; Brito, Fabrice] Terradue, Rome, Italy</t>
  </si>
  <si>
    <t>European Space Agency</t>
  </si>
  <si>
    <t>Caspar, C (corresponding author), European Space Agcy, ESRIN, Frascati, Italy.</t>
  </si>
  <si>
    <t>Brito, Fabrice/0009-0000-1342-9736; Goncalves, Pedro/0000-0003-0598-5059; Mathot, Emmanuel/0009-0007-4519-0804</t>
  </si>
  <si>
    <t>10.1109/IGARSS.2007.4423069</t>
  </si>
  <si>
    <t>WOS:000256657301134</t>
  </si>
  <si>
    <t>Liou, YA; Lin, J; Wu, AM; Chang, GS</t>
  </si>
  <si>
    <t>Liou, Yuei-An; Lin, Jason; Wu, A. -M.; Chang, G. S.</t>
  </si>
  <si>
    <t>Study of Arctic and Antarctic ice dynamics and wind field by using Formosat-2 satellite data</t>
  </si>
  <si>
    <t>Arctic; Sea ice; FORMOSAT-2</t>
  </si>
  <si>
    <t>The sea ice in polar region has been shrunk and thinned considerably with the rampant global temperature during the last few decades. It has already shown dramatic effects on regional water balance, ocean circulation and global climate. Nowadays, an extensive investigation and understanding of the environmental change in polar region becomes a crucial task. However, difficulties resulting from transportation, extreme weather, and seasonal cycle, as well as the lack of satellite coverage make the polar research extremely challenging. Successful launch of FORMOSAT-2 satellite by National Space Organization, Taiwan (NSPO) in 2006 is supposed to resolve the limitation of polar observation by providing daily high resolution images (8 in MS and 2 in Panchromatic) near two poles. This paper presents preliminary findings from time-series FORMOSAT-2 images over the Arctic sea and Amundsen-Scott South Pole Station. Results indicate that wind erosion and ocean circulation shear force may take part in shaping the Arctic ice. In addition, the wind field over the Antarctic may be estimated.</t>
  </si>
  <si>
    <t>[Liou, Yuei-An; Lin, Jason] Natl Cent Univ, Ctr Space &amp; Remote Sensing Res, Chungli 32054, Taiwan; [Wu, A. -M.; Chang, G. S.] Natl Space Org, Natl Appl Res Lab, Taipei, Taiwan</t>
  </si>
  <si>
    <t>National Central University; National Applied Research Laboratories - Taiwan</t>
  </si>
  <si>
    <t>Liou, YA (corresponding author), Natl Cent Univ, Ctr Space &amp; Remote Sensing Res, Chungli 32054, Taiwan.</t>
  </si>
  <si>
    <t>yueian@csrsr.ncu.edu.tw; jlss@csrsr.ncu.edu.tw; amwu@nspo.org.tw; gschang@narl.org.tw</t>
  </si>
  <si>
    <t>Liou, Yuei-An/L-8116-2013</t>
  </si>
  <si>
    <t>Liou, Yuei-An/0000-0002-8100-5529</t>
  </si>
  <si>
    <t>National Science Council of Taiwan (NSC) [NSC 95-2111-M-008-011-MY3]</t>
  </si>
  <si>
    <t>National Science Council of Taiwan (NSC)(Ministry of Science and Technology, Taiwan)</t>
  </si>
  <si>
    <t>The authors are grateful to NSPO for the access to the FORMOSAT-2 images. The work has been supported by National Science Council of Taiwan (NSC) grant NSC 95-2111-M-008-011-MY3.</t>
  </si>
  <si>
    <t>10.1109/IGARSS.2007.4423109</t>
  </si>
  <si>
    <t>WOS:000256657301174</t>
  </si>
  <si>
    <t>Macelloni, G; Brogioni, M; Vey, S</t>
  </si>
  <si>
    <t>Macelloni, Giovanni; Brogioni, Marco; Vey, Sylvain</t>
  </si>
  <si>
    <t>Calibration of a ground based radiometer for a one-year experiment in Antarctica: a contribution to SMOS calibration</t>
  </si>
  <si>
    <t>microwave radiometery; calibration; Antarctica; SMOS</t>
  </si>
  <si>
    <t>MICROWAVE RADIOMETERS; L-BAND</t>
  </si>
  <si>
    <t>In recent years there has been a growing interest on the part of the remote sensing community in exploiting the Antarctic area, in particular the plateau where the Dome-C base is located, for the calibration and validation of data from satellite-borne microwave radiometers. With a view to the launching of new low-frequency satellite sensors, an experimental activity was started at Dome-C. In this paper, the preparations relative to a new campaign, in particular the design and calibration strategy of a L-band microwave radiometer, arc presented.</t>
  </si>
  <si>
    <t>[Macelloni, Giovanni; Brogioni, Marco] CNR, IFAC, Via Madonna Piano 10, I-50019 Florence, Italy; [Vey, Sylvain] ESA ESTEC, Young Grad European Space Agcy, Noordwijk, Netherlands</t>
  </si>
  <si>
    <t>Consiglio Nazionale delle Ricerche (CNR); Istituto di Fisica Applicata Nello Carrara (IFAC-CNR); European Space Agency</t>
  </si>
  <si>
    <t>Macelloni, G (corresponding author), CNR, IFAC, Via Madonna Piano 10, I-50019 Florence, Italy.</t>
  </si>
  <si>
    <t>G.Macelloni@ifac.cnr.it</t>
  </si>
  <si>
    <t>Brogioni, Marco/B-7522-2015; Macelloni, Giovanni/B-7518-2015; Brogioni, Marco/Q-6583-2019</t>
  </si>
  <si>
    <t>Brogioni, Marco/0000-0001-6232-6020; Brogioni, Marco/0000-0001-6232-6020; MACELLONI, GIOVANNI/0000-0002-9738-7939</t>
  </si>
  <si>
    <t>ESA ESTEC [20066/06/NL/EL]</t>
  </si>
  <si>
    <t>ESA ESTEC(European Space Agency)</t>
  </si>
  <si>
    <t>This work has been performed under ESA ESTEC Contract No. 20066/06/NL/EL</t>
  </si>
  <si>
    <t>10.1109/IGARSS.2007.4423331</t>
  </si>
  <si>
    <t>WOS:000256657302174</t>
  </si>
  <si>
    <t>Dall, J; Skou, N; Kusk, A; Kristensen, SS; Krozer, V</t>
  </si>
  <si>
    <t>Dall, Jorgen; Skou, Niels; Kusk, Anders; Kristensen, Steen Savstrup; Krozer, Viktor</t>
  </si>
  <si>
    <t>P-sounder: an airborne P-band ice sounding radar</t>
  </si>
  <si>
    <t>polarimetry; clutter; sidelobes; dynamic range</t>
  </si>
  <si>
    <t>This paper presents the top-level design of an airborne, P-band ice sounding radar under development at the Technical University of Denmark. The ice sounder is intended to provide more information on the electromagnetic properties of the Antarctic ice sheet at P-band. A secondary objective is to test new ice sounding techniques, e.g. polarimetry, synthetic aperture processing, and coherent clutter suppression. A system analysis involving ice scattering models confirms that it is feasible to detect the bedrock through 4 km of ice and to detect deep ice layers. The ice sounder design features a digital signal generator, a microstrip antenna array, a conventional RF-architecture with a central transmitter, four receivers, and internal calibration loops. In 2008 the first data acquisition campaign will take place in Greenland.</t>
  </si>
  <si>
    <t>[Dall, Jorgen; Skou, Niels; Kusk, Anders; Kristensen, Steen Savstrup; Krozer, Viktor] Tech Univ Denmark, Danish Natl Space Ctr, DK-2800 Lyngby, Denmark</t>
  </si>
  <si>
    <t>Technical University of Denmark</t>
  </si>
  <si>
    <t>Dall, J (corresponding author), Tech Univ Denmark, Danish Natl Space Ctr, Orsteds Plads 348, DK-2800 Lyngby, Denmark.</t>
  </si>
  <si>
    <t>jd@oersted.dtu.dk</t>
  </si>
  <si>
    <t>Krozer, Viktor/P-5623-2014; Dall, Jorgen/E-8947-2018</t>
  </si>
  <si>
    <t>Krozer, Viktor/0000-0002-2387-1947; Dall, Jorgen/0000-0002-3873-1074; Kristensen, Steen Savstrup/0000-0001-5928-1802; Kusk, Anders/0000-0001-7822-4758</t>
  </si>
  <si>
    <t>WOS:000256657305175</t>
  </si>
  <si>
    <t>Macelloni, G; Brogioni, M; Santi, E</t>
  </si>
  <si>
    <t>Macelloni, Giovanni; Brogioni, Marco; Santi, Emanuele</t>
  </si>
  <si>
    <t>Retrieval from AMSR-E data of the snow temperature profile at Dome-C Antarctica</t>
  </si>
  <si>
    <t>IEEE International Symposium on Geoscience and Remote Sensing (IGARSS)</t>
  </si>
  <si>
    <t>microwave radiometry; AMSR-E; Antarctica</t>
  </si>
  <si>
    <t>The Antarctic plateau is the highest part of the east Antarctic ice-cap that extends for several hundred kilometers with an average altitude of close to 3000 m a.s.l.. In this paper, we analyze the temporal variability of multi-frequency microwave emission from the area surrounding the Dome-C scientific station, using AMSR-E data collected throughout 2005 and 2006, and snow temperatures measured at different depths down to 10m below the surface. The brightness temperature variability is associated with the temperature fluctuation at different depths and a simple method was developed for inverting these relationships and for exploiting the possibility of retrieving the snow temperature profiles from satellite data.</t>
  </si>
  <si>
    <t>[Macelloni, Giovanni; Brogioni, Marco; Santi, Emanuele] CNR, IFAC, I-50019 Florence, Italy</t>
  </si>
  <si>
    <t>Consiglio Nazionale delle Ricerche (CNR); Istituto di Fisica Applicata Nello Carrara (IFAC-CNR)</t>
  </si>
  <si>
    <t>Macelloni, G (corresponding author), CNR, IFAC, Via Madonna Piano, I-50019 Florence, Italy.</t>
  </si>
  <si>
    <t>Brogioni, Marco/B-7522-2015; Santi, Emanuele/A-7755-2013; Brogioni, Marco/Q-6583-2019; Macelloni, Giovanni/B-7518-2015</t>
  </si>
  <si>
    <t>Brogioni, Marco/0000-0001-6232-6020; Santi, Emanuele/0000-0003-1882-6321; Brogioni, Marco/0000-0001-6232-6020; MACELLONI, GIOVANNI/0000-0002-9738-7939</t>
  </si>
  <si>
    <t>WOS:000256657305177</t>
  </si>
  <si>
    <t>Han, H; Lee, H</t>
  </si>
  <si>
    <t>Han, Hyangsun; Lee, Hoonyol</t>
  </si>
  <si>
    <t>Compartive study of sea ice concentration by using DMSP SSM/I, Aqua AMSR-E and Kompsat-1 EOC</t>
  </si>
  <si>
    <t>passive microwave; sea ice concentration; Kompsat-1 EOC; young ice; new ice</t>
  </si>
  <si>
    <t>SATELLITE; IMAGERY; TRENDS; EDGE</t>
  </si>
  <si>
    <t>Satellite passive microwave radiometers such as DMSP SSM/I and Aqua AMSR-E have been providing scientific evidences of sea ice fluctuations through the analysis of decadal archives of daily sea ice concentration (SIC). To evaluate SIC we observed sea ice with a 6 m resolution optical EOC sensor onboard Kompsat-1. Total 68 cloud-free scenes were obtained across the Antarctic continental edges from September to November 2005. In EOC images, we classified sea ice types into White ice (W), Grey-ice (G), and Dark-grey ice (G) and then compared with DMSP SSM/I and Aqua AMSR-E SIC products. In Antarctic springtime, EOC (W+G) SIC showed best fit to SSM/I SIC while (W+G+D) SIC to AMSR-E SIC. It is suggested that SSM/I SIC responds to young ice in addition to multi-year ice and first-year ice, while AMSR-E SIC detects new ice as well.</t>
  </si>
  <si>
    <t>[Han, Hyangsun; Lee, Hoonyol] Kangwon Natl Univ, Dept Geophys, Chunchon 200701, Kangwon Do, South Korea</t>
  </si>
  <si>
    <t>Kangwon National University</t>
  </si>
  <si>
    <t>Han, H (corresponding author), Kangwon Natl Univ, Dept Geophys, 192-1 Hyoja Dong, Chunchon 200701, Kangwon Do, South Korea.</t>
  </si>
  <si>
    <t>Han, Hyangsun/AAE-7670-2022</t>
  </si>
  <si>
    <t>Han, Hyangsun/0000-0002-0414-519X; Lee, Hoonyol/0000-0002-5980-8640</t>
  </si>
  <si>
    <t>WOS:000256657305181</t>
  </si>
  <si>
    <t>Loeb, V</t>
  </si>
  <si>
    <t>Vasseur, DA; McCann, KS</t>
  </si>
  <si>
    <t>Loeb, Valerie</t>
  </si>
  <si>
    <t>Environmental variability and the antarctic marine ecosystem</t>
  </si>
  <si>
    <t>Impact of Environmental Variability on Ecological Systems</t>
  </si>
  <si>
    <t>Peter Yodzis Fundamental Ecology Series</t>
  </si>
  <si>
    <t>Colloquium on the Impact of Environmental Variability on Ecological Systems</t>
  </si>
  <si>
    <t>MAY 06-07, 2005</t>
  </si>
  <si>
    <t>Univ Guelph, Guelph, CANADA</t>
  </si>
  <si>
    <t>Univ Guelph</t>
  </si>
  <si>
    <t>El nino-southern oscillation; sea ice; krill; salps; Antarctic ecosystem</t>
  </si>
  <si>
    <t>KRILL EUPHAUSIA-SUPERBA; BRANSFIELD STRAIT REGION; SOUTH SHETLAND ISLANDS; SEA-ICE EXTENT; CIRCUMPOLAR CURRENT; ELEPHANT ISLAND; WATER MASSES; SCOTIA SEA; COMMUNITY STRUCTURE; SALP/KRILL INTERACTIONS</t>
  </si>
  <si>
    <t>This chapter presents an overview of the physical environment and pelagic marine ecosystem of the Southern Ocean with special attention to the Antarctic Peninsula region, south of South America. The Antarctic Peninsula region has been well studied because it is an important feeding, spawning, and nursery ground for Antarctic krill, Euphausia superba, the keystone species for the Antarctic marine food web. The physical and biological data sets collected in this region allow examination of seasonal, interannual and longer-scale ecosystem variability and the coupled atmospheric-oceanic-ice processes that underlie this variability. Evidence is presented that supports the hypothesis that this region is strongly impacted by meridional atmosphere teleconnections instigated in the western tropical Pacific Ocean by El Nino-Southern Oscillation (ENSO) variability that exhibits a 3- to 5-year periodicity.</t>
  </si>
  <si>
    <t>Moss Landing Marine Labs, Moss Landing, CA 95039 USA</t>
  </si>
  <si>
    <t>Moss Landing Marine Laboratories</t>
  </si>
  <si>
    <t>Loeb, V (corresponding author), Moss Landing Marine Labs, 8272 Moss Landing Rd, Moss Landing, CA 95039 USA.</t>
  </si>
  <si>
    <t>978-1-4020-5850-9</t>
  </si>
  <si>
    <t>PETER YODZIS FUND EC</t>
  </si>
  <si>
    <t>Ecology; Environmental Sciences</t>
  </si>
  <si>
    <t>BGL96</t>
  </si>
  <si>
    <t>WOS:000248254100010</t>
  </si>
  <si>
    <t>Storrie-Lombardi, MC; Pinkairt, HC</t>
  </si>
  <si>
    <t>Hoover, RB; Levin, GV; Rozanov, AY; Davies, PCW</t>
  </si>
  <si>
    <t>Storrie-Lombardi, Michael C.; Pinkairt, Holly C.</t>
  </si>
  <si>
    <t>Co-evolution of cyanophage and cyanobacteiria in Antarctic lakes: Adaptive responses to high UV flux and global warming</t>
  </si>
  <si>
    <t>INSTRUMENTS, METHODS, AND MISSIONS FOR ASTROBIOLOGY X</t>
  </si>
  <si>
    <t>Proceedings of SPIE</t>
  </si>
  <si>
    <t>Conference on Instruments, Methods, and Missions for Astrobiology X</t>
  </si>
  <si>
    <t>AUG 28-30, 2007</t>
  </si>
  <si>
    <t>origin and evolution of life; viruses; bacteriophage; horizontal gene transfer; Antarctica; global warming; genome information storage</t>
  </si>
  <si>
    <t>ULTRAVIOLET-B RADIATION; DRONNING MAUD LAND; PHOTOSYNTHESIS GENES; OZONE DEPLETION; EAST ANTARCTICA; DNA-DAMAGE; PHYTOPLANKTON; COMPLEXITY; ICE; PROCHLOROCOCCUS</t>
  </si>
  <si>
    <t>Rapid adaptation to acute environmental change demands co-evolution of indigenous viral populations and their hosts. Horizontal gene transfer (HGT) is a highly efficient adaptive mechanism, but a difficult phenomena to dectect. The mosaic nature of bacteriophage genomes resulting from HGT has generally been explored using phylogenetic analysis of coding regions [1, 2]. Focusing on the proteome certainly provides one window into the origin and evolution of genome information storage. However, the original fitness function for a nucleotide polymer would arise from a more primal survival imperative predating the appearance of a coding function. Multivariate analysis of a genome information storage metric (lossless compression [4, 5]), nucleotide distributions, and distributions of the three major physiochemical characteristics of the polymer (triple:double bonding [G+C], purine:pyrimidine [G+A], and keto:amine [G+T] fractions) produces a metric to detect and characterize mosaicism in both coding and non-coding regions of a genome. We discuss possibilities and limitations of using these techniques to investigate HGT and the origins and evolution of genome complexity. Analysis of available virus (n= 2374) and bacteriophage genomes (n=417) indicates these probes can per-form whole-genome taxonomy tasks or sliding window searches for evidence of HGT in a single genome. HGT responses may serve as a canary or bell-weather for global environmental change. We discuss one area of application of considerable interest to our institute: the response of cyanophage and their cyanobacteria hosts to variations in ultraviolet solar flux in geographically isolated Antarctic lakes.</t>
  </si>
  <si>
    <t>[Storrie-Lombardi, Michael C.] Kinohi Inst, 530 S Lake Ave,117, Pasadena, CA 91101 USA; [Pinkairt, Holly C.] Cent Washington Univ, Ellensburg, WA 98926 USA</t>
  </si>
  <si>
    <t>Central Washington University</t>
  </si>
  <si>
    <t>Storrie-Lombardi, MC (corresponding author), Kinohi Inst, 530 S Lake Ave,117, Pasadena, CA 91101 USA.</t>
  </si>
  <si>
    <t>mike@kinohi.org; pinkartH@cwu.edu</t>
  </si>
  <si>
    <t>1996-756X</t>
  </si>
  <si>
    <t>978-0-8194-6842-0</t>
  </si>
  <si>
    <t>PROC SPIE</t>
  </si>
  <si>
    <t>66941E</t>
  </si>
  <si>
    <t>10.1117/12.745960</t>
  </si>
  <si>
    <t>Astronomy &amp; Astrophysics; Optics</t>
  </si>
  <si>
    <t>BGZ35</t>
  </si>
  <si>
    <t>WOS:000251489700043</t>
  </si>
  <si>
    <t>Meneghini, B; Simmonds, I; Smith, IN</t>
  </si>
  <si>
    <t>Meneghini, Belinda; Simmonds, Ian; Smith, Ian N.</t>
  </si>
  <si>
    <t>Association between Australian rainfall and the Southern Annular Mode</t>
  </si>
  <si>
    <t>INTERNATIONAL JOURNAL OF CLIMATOLOGY</t>
  </si>
  <si>
    <t>Southern Annular Mode; Australian rainfall; El Nino-Southern Oscillation; climate; Antarctic Oscillation Index; Southern Hemisphere variability; southwest Western Australian rainfall; climate change</t>
  </si>
  <si>
    <t>ANTARCTIC OSCILLATION; WINTER RAINFALL; SEA-ICE; VARIABILITY; SOUTHWEST; CIRCULATION; PHASES; WAVE</t>
  </si>
  <si>
    <t>In this study, we explore the relationships between seasonal Australian rainfall and the Southern Annular Mode (SAM). We produce two seasonal indices of the SAM: the Antarctic Oscillation Index (AOI), and an Australian regional version (AOIR) using ERA-40 mean sea-level pressure (MSLP) reanalysis data. The seasonal rainfall data are based on gridded monthly rainfall provided by the Australian Bureau of Meteorology. For the period 1958-2002 a significant inverse relationship is found between the SAM and rainfall in southern Australia, while a significant in-phase relationship is found between the SAM and rainfall in northern Australia. Furthermore, widespread significant inverse relationships in southern Australia are only observed in winter, and only with the AOIR. The AOIR accounts for more of the winter rainfall variability in southwest Western Australia, southern South Australia, western and southern Victoria, and western Tasmania than the Southern Oscillation Index. Overall, our results suggest that changes in the SAM may be partly responsible for the current decline in winter rainfall in southern South Australia, Victoria, and Tasmania, but not the long-term decline in southwest Western Australian winter rainfall. Copyright (c) 2006 Royal Meteorological Society.</t>
  </si>
  <si>
    <t>Univ Melbourne, Sch Earth Sci, Melbourne, Vic 3010, Australia</t>
  </si>
  <si>
    <t>University of Melbourne; Melbourne Bioinformatics</t>
  </si>
  <si>
    <t>Meneghini, B (corresponding author), Univ Melbourne, Sch Earth Sci, Melbourne, Vic 3010, Australia.</t>
  </si>
  <si>
    <t>b.meneghini@pgrad.unimelb.edu.au</t>
  </si>
  <si>
    <t>Simmonds, Ian/0000-0002-4479-3255</t>
  </si>
  <si>
    <t>0899-8418</t>
  </si>
  <si>
    <t>1097-0088</t>
  </si>
  <si>
    <t>INT J CLIMATOL</t>
  </si>
  <si>
    <t>Int. J. Climatol.</t>
  </si>
  <si>
    <t>10.1002/joc.1370</t>
  </si>
  <si>
    <t>Meteorology &amp; Atmospheric Sciences</t>
  </si>
  <si>
    <t>135YV</t>
  </si>
  <si>
    <t>WOS:000244190700007</t>
  </si>
  <si>
    <t>Cracknell, AP; Varotsos, CA</t>
  </si>
  <si>
    <t>Cracknell, Arthur P.; Varotsos, Costas A.</t>
  </si>
  <si>
    <t>The Antarctic 2006 ozone hole</t>
  </si>
  <si>
    <t>INTERNATIONAL JOURNAL OF REMOTE SENSING</t>
  </si>
  <si>
    <t>Univ Dundee, Dundee DD1 4HN, Scotland; Univ Athens, GR-10679 Athens, Greece</t>
  </si>
  <si>
    <t>University of Dundee; National &amp; Kapodistrian University of Athens</t>
  </si>
  <si>
    <t>Cracknell, AP (corresponding author), Univ Dundee, Dundee DD1 4HN, Scotland.</t>
  </si>
  <si>
    <t>Varotsos, Costas/H-6257-2013</t>
  </si>
  <si>
    <t>Varotsos, Costas/0000-0001-7215-3610</t>
  </si>
  <si>
    <t>4 PARK SQUARE, MILTON PARK, ABINGDON OX14 4RN, OXON, ENGLAND</t>
  </si>
  <si>
    <t>0143-1161</t>
  </si>
  <si>
    <t>INT J REMOTE SENS</t>
  </si>
  <si>
    <t>Int. J. Remote Sens.</t>
  </si>
  <si>
    <t>10.1080/01431160601143695</t>
  </si>
  <si>
    <t>Remote Sensing; Imaging Science &amp; Photographic Technology</t>
  </si>
  <si>
    <t>134OR</t>
  </si>
  <si>
    <t>WOS:000244093200001</t>
  </si>
  <si>
    <t>Grytsai, A; Evtushevsky, A; Milinevsky, G; Agapitov, A</t>
  </si>
  <si>
    <t>Grytsai, A.; Evtushevsky, A.; Milinevsky, G.; Agapitov, A.</t>
  </si>
  <si>
    <t>Longitudinal position of the quasi-stationary wave extremes over the Antarctic region from the TOMS total ozone</t>
  </si>
  <si>
    <t>SOUTHERN-HEMISPHERE; PLANETARY-WAVES; HOLE SPLIT; WINTER; TEMPERATURE; DEPENDENCE; VORTEX; TRENDS</t>
  </si>
  <si>
    <t>Zonal asymmetry of total ozone content (TOC) in the Antarctic region is analysed using the TOMS measurements in 1979-2004. The TOC longitudinal distribution at the individual latitude circles in the latitude band 55-75 degrees S with the 5 degrees step is considered. From the positions of the zonal wave extremes it is revealed that the TOC zonal minimum is displaced eastward in the longitudinal sector 60 degrees W-0 degrees E with total shift of about 50 degrees. The zonal maximum position is rather stable in the quadrant 90 degrees E-180 degrees E. Evidence is obtained that averaged geographical location of the extremes at the five latitude circles reproduces the Antarctic continent boundary in the corresponding longitudinal sectors.</t>
  </si>
  <si>
    <t>Natl Taras Shevchenko Univ Kyiv, Astron &amp; Space Phys Dept, UA-03680 Kiev, Ukraine; Natl Antarctic Sci Ctr, UA-01601 Kiev, Ukraine</t>
  </si>
  <si>
    <t>Ministry of Education &amp; Science of Ukraine; Taras Shevchenko National University of Kyiv; Ministry of Education &amp; Science of Ukraine; State Institution National Antarctic Scientific Center</t>
  </si>
  <si>
    <t>Milinevsky, G (corresponding author), Natl Taras Shevchenko Univ Kyiv, Astron &amp; Space Phys Dept, 2 Akad Glushkov Av,Bldg 1, UA-03680 Kiev, Ukraine.</t>
  </si>
  <si>
    <t>gennadim@gmail.com</t>
  </si>
  <si>
    <t>Evtushevsky, Oleksandr O.M./F-2065-2017; AGAPITOV, OLEKSIY/O-7922-2019; Grytsai, Asen/AAS-7114-2020; Milinevsky, Gennadi/AAD-8801-2019</t>
  </si>
  <si>
    <t>Evtushevsky, Oleksandr O.M./0000-0003-0582-559X; AGAPITOV, OLEKSIY/0000-0001-6427-1596; Milinevsky, Gennadi/0000-0002-2342-2615; Grytsai, Asen/0000-0002-2545-9833</t>
  </si>
  <si>
    <t>1366-5901</t>
  </si>
  <si>
    <t>10.1080/01431160600768021</t>
  </si>
  <si>
    <t>171FV</t>
  </si>
  <si>
    <t>WOS:000246721600002</t>
  </si>
  <si>
    <t>Thorpe, SA</t>
  </si>
  <si>
    <t>Introduction to Ocean Turbulence</t>
  </si>
  <si>
    <t>INTRODUCTION TO OCEAN TURBULENCE</t>
  </si>
  <si>
    <t>Book</t>
  </si>
  <si>
    <t>ANTARCTIC BOTTOM WATER; INTERNAL GRAVITY-WAVES; KINETIC-ENERGY; BOUNDARY-LAYER; NORTH-ATLANTIC; FINE-STRUCTURE; MIXING LAYER; DEEP-OCEAN; SHEAR; BREAKING</t>
  </si>
  <si>
    <t>978-0-52185-948-6; 978-0-521-67680-9</t>
  </si>
  <si>
    <t>10.1017/CBO9780511801198</t>
  </si>
  <si>
    <t>BXM50</t>
  </si>
  <si>
    <t>WOS:000296380600008</t>
  </si>
  <si>
    <t>Mah, C</t>
  </si>
  <si>
    <t>Mah, Christopher</t>
  </si>
  <si>
    <t>Systematics, phylogeny and historical biogeography of the Pentagonaster clade (Asteroidea: Valvatida: Goniasteridae)</t>
  </si>
  <si>
    <t>INVERTEBRATE SYSTEMATICS</t>
  </si>
  <si>
    <t>SEA STARS ASTEROIDEA; COPES RULE; CLIMATE-CHANGE; BENTHIC FAUNA; ECHINODERMATA; SIZE; EVOLUTION; OCEAN; ISLAND; SHELF</t>
  </si>
  <si>
    <t>Morphology- based phylogenetic hypotheses developed for living and fossil goniasterid asteroids have provided several unique opportunities to study bathymetric and biogeographic shifts for an ecologically important group of prominent, megafaunal invertebrates. A cladistic analysis of 18 ingroup taxa employing 65 morphological characters resulted in a single most parsimonious tree. The tree supports assignment of the Atlantic Tosia parva ( Perrier, 1881) and the Pacific Tosia queenslandensis Livingstone, 1932 to new, separate genera. The phylogenetic tree supports offshore to onshore bathymetric shifts between basal and derived taxa. The phylogeny is also consistent with historical events surrounding the separation of Antarctica from Australia and South Africa. Buterminaster Blake &amp; Zinsmeister, 1988 from the Eocene La Meseta Formation, Antarctic Peninsula, was included in the phylogenetic analysis and is now supported as the only fossil species in the genus Pentagonaster Gray, 1840. Pentagonaster stibarus H. L. Clark, 1914 is separated from synonymy with P. dubeni Gray, 1847 and resurrected as a valid species. The new genus, Akelbaster, gen. nov., shows unusual new structures that resemble cribiform organs, although their function has not been determined. One specific ingroup lineage, including Tosia and Pentagonaster, attains a much larger adult size than those of its sister- taxa, suggesting that Cope's rule may apply to asteroids within this clade. Pentagonaster and related genera are revised. Descriptions of four new genera and three new species are presented, including: Akelbaster novaecaledoniae, gen. nov., sp. nov., Ryukuaster onnae, gen. nov., sp. nov., Eknomiaster beccae, sp. nov., Pawsonaster parvus, gen. nov., comb. nov. and Anchitosia queenslandensis, gen. nov., comb. nov.</t>
  </si>
  <si>
    <t>Natl Museum Nat Hist, Dept Invertebrate Zool, Smithsonian Inst, Washington, DC 20560 USA</t>
  </si>
  <si>
    <t>Smithsonian Institution; Smithsonian National Museum of Natural History</t>
  </si>
  <si>
    <t>Mah, C (corresponding author), Natl Museum Nat Hist, Dept Invertebrate Zool, Smithsonian Inst, MRC 163,POB 37012, Washington, DC 20560 USA.</t>
  </si>
  <si>
    <t>mahch@si.edu</t>
  </si>
  <si>
    <t>Mah, Christopher/B-5771-2008</t>
  </si>
  <si>
    <t>1445-5226</t>
  </si>
  <si>
    <t>1447-2600</t>
  </si>
  <si>
    <t>INVERTEBR SYST</t>
  </si>
  <si>
    <t>Invertebr. Syst.</t>
  </si>
  <si>
    <t>10.1071/IS06049</t>
  </si>
  <si>
    <t>Evolutionary Biology; Zoology</t>
  </si>
  <si>
    <t>211ZR</t>
  </si>
  <si>
    <t>WOS:000249563700002</t>
  </si>
  <si>
    <t>Placzek, WJ; Etezady-Esfarjani, T; Herrmann, T; Pedrini, B; Peti, W; Alimenti, C; Luporini, P; Wüthrich, K</t>
  </si>
  <si>
    <t>Placzek, William J.; Etezady-Esfarjani, Touraj; Herrmann, Torsten; Pedrini, Bill; Peti, Wolfgang; Alimenti, Claudio; Luporini, Pierangelo; Wuethrich, Kurt</t>
  </si>
  <si>
    <t>Cold-adapted signal proteins: NMR structures of pheromones from the antarctic ciliate Euplotes nobilii</t>
  </si>
  <si>
    <t>IUBMB LIFE</t>
  </si>
  <si>
    <t>protein structures; ciliate pheromones; cell recognition signals; disulfide-bond identification; Antarctic biology</t>
  </si>
  <si>
    <t>AMBIGUOUS DISTANCE RESTRAINTS; TORSION ANGLE DYNAMICS; MOLECULAR-DYNAMICS; ANTIFREEZE PROTEIN; PROGRAM; IDENTIFICATION; ADAPTATION; ASSIGNMENT; GENOMICS; REVEALS</t>
  </si>
  <si>
    <t>Cell type-specific signal proteins, known as pheromones, are synthesized by ciliated protozoa in association with their self/ nonself mating- type systems, and are utilized to control the vegetative growth and mating stages of their life cycle. In species of the most ubiquitous ciliate, Euplotes, these pheromones form families of structurally homologous molecules, which are constitutively secreted into the extracellular environment, from where they can be isolated in suffi. cient amounts for chemical characterization. This paper describes the NMR structures of En- 1 and En- 2, which are members of the cold- adapted pheromone family produced by Euplotes nobilii, a species inhabiting the freezing coastal waters of Antarctica. The structures were determined with the proteins from the natural source, using homonuclear 1 H NMR techniques in combination with automated NOESY peak picking and NOE assignment. En- 1 and En- 2 have highly homologous global folds, which consist of a central three- alpha- helix bundle with an up- down- up topology and a 3(10)- helical turn near the N- terminus. This fold is stabilized by four disulfide bonds and the helices are connected by bulging loops. Apparent structural specificity resides in the variable C- terminal regions of the pheromones. The NMR structures of En- 1 and En- 2 provide novel insights into the cold- adaptive modi. cations that distinguish the E. nobilii pheromone family from the closely related E. raikovi pheromone family isolated from temperate waters.</t>
  </si>
  <si>
    <t>Scripps Res Inst, Dept Mol Biol, MB-44,10550 N Torrey Pines Rd, La Jolla, CA 92037 USA; Scripps Res Inst, Skaggs Inst Chem Biol, La Jolla, CA 92037 USA; Univ Camerino, Dipartimento Biol Mol Cellulare &amp; Anim, I-62032 Camerino, MC, Italy</t>
  </si>
  <si>
    <t>Scripps Research Institute; Scripps Research Institute; University of Camerino</t>
  </si>
  <si>
    <t>Wüthrich, K (corresponding author), Scripps Res Inst, Dept Mol Biol, MB-44,10550 N Torrey Pines Rd, La Jolla, CA 92037 USA.</t>
  </si>
  <si>
    <t>wuthrich@scripps.edu</t>
  </si>
  <si>
    <t>Placzek, William/AAG-1172-2020; Pedrini, Bill/J-2237-2018; Peti, Wolfgang/L-3492-2014; Herrmann, Torsten/B-9978-2008</t>
  </si>
  <si>
    <t>Placzek, William/0000-0003-4096-8617; Pedrini, Bill/0000-0003-4228-7874; Herrmann, Torsten/0000-0003-2115-4781; Alimenti, Claudio/0000-0003-2231-2948; Wuthrich, Kurt/0000-0001-8739-6965</t>
  </si>
  <si>
    <t>1521-6543</t>
  </si>
  <si>
    <t>1521-6551</t>
  </si>
  <si>
    <t>IUBMB Life</t>
  </si>
  <si>
    <t>8-9</t>
  </si>
  <si>
    <t>10.1080/15216540701258165</t>
  </si>
  <si>
    <t>Biochemistry &amp; Molecular Biology; Cell Biology</t>
  </si>
  <si>
    <t>199UT</t>
  </si>
  <si>
    <t>WOS:000248721400013</t>
  </si>
  <si>
    <t>Athey-Pollard, N</t>
  </si>
  <si>
    <t>Athey-Pollard, Nina</t>
  </si>
  <si>
    <t>Halogenated hydrocarbon pollutants are redistributed by Antarctic penguins - Polluted penguin poop</t>
  </si>
  <si>
    <t>JOURNAL OF ANALYTICAL ATOMIC SPECTROMETRY</t>
  </si>
  <si>
    <t>News Item</t>
  </si>
  <si>
    <t>ROYAL SOC CHEMISTRY</t>
  </si>
  <si>
    <t>THOMAS GRAHAM HOUSE, SCIENCE PARK, MILTON RD, CAMBRIDGE CB4 0WF, CAMBS, ENGLAND</t>
  </si>
  <si>
    <t>0267-9477</t>
  </si>
  <si>
    <t>1364-5544</t>
  </si>
  <si>
    <t>J ANAL ATOM SPECTROM</t>
  </si>
  <si>
    <t>J. Anal. At. Spectrom.</t>
  </si>
  <si>
    <t>C66</t>
  </si>
  <si>
    <t>10.1039/b708103k</t>
  </si>
  <si>
    <t>Chemistry, Analytical; Spectroscopy</t>
  </si>
  <si>
    <t>Chemistry; Spectroscopy</t>
  </si>
  <si>
    <t>202QE</t>
  </si>
  <si>
    <t>WOS:000248917300002</t>
  </si>
  <si>
    <t>Grattan, JP; Gilbertson, DD; Hunt, CO</t>
  </si>
  <si>
    <t>Grattan, J. P.; Gilbertson, D. D.; Hunt, C. O.</t>
  </si>
  <si>
    <t>The local and global dimensions of metalliferous pollution derived from a reconstruction of an eight thousand year record of copper smelting and mining at a desert-mountain frontier in southern Jordan</t>
  </si>
  <si>
    <t>JOURNAL OF ARCHAEOLOGICAL SCIENCE</t>
  </si>
  <si>
    <t>ancient economy; atmospheric circulation; deserts; geomorphology; Holocene; Jordan; lead; copper; thallium; Mediterranean; pollution; world-systems theory</t>
  </si>
  <si>
    <t>ATMOSPHERIC LEAD POLLUTION; OMBROTROPHIC PEAT BOG; KING-SOLOMONS MINERS; JURA MOUNTAINS; HEAVY-METALS; WADI-FAYNAN; ISOTOPIC COMPOSITION; ENRICHMENT FACTORS; ANTARCTIC ICE; ANCIENT</t>
  </si>
  <si>
    <t>This paper establishes an eight thousand year history of anthropogenic metal pollution at one of the oldest, most important and longest sustained sites of the extraction and smelting of copper ores in the Old World: the Faynan Orefield in Jordan, which is located between the hyper-arid southern desert and the front of the wetter Mountains of Edom. The modern land surface is shown, in significant part, to be a complex palimpsest of archaeological sites, metal pollution of various ages and ore processing deposits. Quantitative and qualitative observations of the storage and cycling of heavy metals through the local natural and domestic systems have produced a body of information on processes with which the past has been interpreted. Heavy metal concentrations in semi-continuous sedimentary bodies indicate that over the last 1500 years, metals were removed by natural processes at a comparatively slow rate given the scale of the original anthropogenic metal burden: the proportions of lead with respect to copper have increased as the overall metal burden has been lowered. Distinctive anthropogenic metal-pollution signatures have been detected in ash- and charcoal-rich deposits that were discarded onto the banks of a perennial stream in the late Neolithic. At present. the nature of the human activities that might have produced these pollution signatures is unknown. Substantial metal pollution from industrial-scale smelting activity was present from the Early Bronze Age. The intensity of heavy metal pollution produced in Classical Times locally exceeded that recorded at major European copper smelting centres in the nineteenth century A.D. The pollution evidence indicates that intensive copper smelting at the immediate area took place until approximately the end of the Byzantine period; with the exception of one further minor episode of smelting radiocarbon dated to cal. BP 530-330. An observed partial, but perhaps significant, parallelism is also noted between this local record and the records of the metal burdens of the northern hemisphere determined at mire or ice-sheet sites at high-altitudes or high/atitudes. The paper discusses the extent to which this parallelism might be a geochemical indicator of the actual existence of economic systems of a geographical scope and scale to have both exercised substantial pull upon the resources of such isolated and difficult locations at the Wadi Faynan. and to have Generated sufficient overall metal Pollution to have materially altered the chemistry of the Global atmosphere. The comparative absence of quantitative information upon the nature, spatial scale and impacts of human, industrial and natural processes affecting metal-pollution in other metal-rich and lands provides a significant impediment to such approaches that seek to research locally and think globally. (c) 2006 Elsevier Ltd. All rights reserved.</t>
  </si>
  <si>
    <t>Univ Wales, Inst Geog &amp; Earth Sci, Aberystwyth SY23 3DB, Dyfed, Wales; Univ Plymouth, Sch Geog, Plymouth PL4 8AA, Devon, England; Queens Univ Belfast, Sch Archaeol &amp; Palaeoecol, Belfast BT7 1NN, Antrim, North Ireland</t>
  </si>
  <si>
    <t>Aberystwyth University; University of Plymouth; Queens University Belfast</t>
  </si>
  <si>
    <t>Grattan, JP (corresponding author), Univ Wales, Inst Geog &amp; Earth Sci, Aberystwyth SY23 3DB, Dyfed, Wales.</t>
  </si>
  <si>
    <t>john.grattan@aber.ac.uk</t>
  </si>
  <si>
    <t>Hunt, Chris O./AAG-3327-2020; Hunt, Christopher/J-3228-2012; Grattan, John/N-2167-2014</t>
  </si>
  <si>
    <t>Hunt, Chris/0000-0003-0330-8871</t>
  </si>
  <si>
    <t>ACADEMIC PRESS LTD- ELSEVIER SCIENCE LTD</t>
  </si>
  <si>
    <t>24-28 OVAL RD, LONDON NW1 7DX, ENGLAND</t>
  </si>
  <si>
    <t>0305-4403</t>
  </si>
  <si>
    <t>1095-9238</t>
  </si>
  <si>
    <t>J ARCHAEOL SCI</t>
  </si>
  <si>
    <t>J. Archaeol. Sci.</t>
  </si>
  <si>
    <t>10.1016/j.jas.2006.04.004</t>
  </si>
  <si>
    <t>Anthropology; Archaeology; Geosciences, Multidisciplinary</t>
  </si>
  <si>
    <t>Science Citation Index Expanded (SCI-EXPANDED); Social Science Citation Index (SSCI); Arts &amp; Humanities Citation Index (A&amp;HCI)</t>
  </si>
  <si>
    <t>Anthropology; Archaeology; Geology</t>
  </si>
  <si>
    <t>117SW</t>
  </si>
  <si>
    <t>WOS:000242894600008</t>
  </si>
  <si>
    <t>Peat, HJ; Clarke, A; Convey, P</t>
  </si>
  <si>
    <t>Peat, Helen J.; Clarke, Andrew; Convey, Peter</t>
  </si>
  <si>
    <t>Diversity and biogeography of the Antarctic flora</t>
  </si>
  <si>
    <t>JOURNAL OF BIOGEOGRAPHY</t>
  </si>
  <si>
    <t>Antarctic biogeography; Antarctica; diversity gradient; floral provinces; floristic similarity; glaciation; patterns of endemism; species compositional patterns</t>
  </si>
  <si>
    <t>SPECIES RICHNESS; VICTORIA LAND; PHYTOGEOGRAPHY; DISPERSAL; ACARI</t>
  </si>
  <si>
    <t>Aim To establish how well the terrestrial flora of the Antarctic has been sampled, how well the flora is known, and to determine the major patterns in diversity and biogeography. Location Antarctica south of 60 degrees S, together with the South Sandwich Islands, but excluding South Georgia, Bouvetoya and the periantarctic islands. Methods Plant occurrence data were collated from herbarium specimens and literature records, and assembled into the Antarctic Plant Database. Distributional patterns were analysed using a geographic information system. Biogeographical patterns were determined with a variety of multivariate statistics. Results Plants have been recorded from throughout the Antarctic, including all latitudes between 60 degrees S and 86 degrees S. Species richness declines with latitude along the Antarctic Peninsula, but there was no evidence for a similar cline in Victoria Land and the Transantarctic mountains. Multi-dimensional scaling ordinations showed that the species compositions of the South Orkney, South Shetland Islands and the north-western Antarctic Peninsula are very similar to each other, as are the floras of different regions in continental Antarctica. They also suggest, however, that the eastern Antarctic Peninsula flora is more similar to the flora of the southern Antarctic Peninsula than to the continental flora (with which it has traditionally been linked). The South Sandwich Islands have a flora that is very dissimilar to that in all Antarctic regions, probably because of their isolation and volcanic nature. Main conclusions The Antarctic flora has been reasonably well sampled, but certain areas require further floristic surveys. Available data do, however, allow for a number of robust conclusions. A diversity gradient exists along the Antarctic Peninsula, with fewer species (but not fewer higher taxa) at higher latitudes. Multi-dimensional scaling ordination suggests three major floral provinces within Antarctica: northern maritime, southern maritime, and continental. Patterns of endemism suggest that a proportion of the lichen flora may have an ancient vicariant distribution, while most bryophytes are more recent colonists.</t>
  </si>
  <si>
    <t>British Antarctic Survey, Nat Environm Res Council, Cambridge CB3 0ET, England</t>
  </si>
  <si>
    <t>Peat, HJ (corresponding author), British Antarctic Survey, Nat Environm Res Council, High Cross,Madingley Rd, Cambridge CB3 0ET, England.</t>
  </si>
  <si>
    <t>hjpe@bas.ac.uk</t>
  </si>
  <si>
    <t>Convey, Peter/AAV-5728-2020; Peat, Helen J/E-9666-2015</t>
  </si>
  <si>
    <t>Convey, Peter/0000-0001-8497-9903; Peat, Helen/0000-0003-2017-8597</t>
  </si>
  <si>
    <t>NERC [bas010020, bas010015] Funding Source: UKRI; Natural Environment Research Council [bas010015, bas010020] Funding Source: researchfish</t>
  </si>
  <si>
    <t>0305-0270</t>
  </si>
  <si>
    <t>1365-2699</t>
  </si>
  <si>
    <t>J BIOGEOGR</t>
  </si>
  <si>
    <t>J. Biogeogr.</t>
  </si>
  <si>
    <t>10.1111/j.1365-2699.2006.01565.x</t>
  </si>
  <si>
    <t>Ecology; Geography, Physical</t>
  </si>
  <si>
    <t>Environmental Sciences &amp; Ecology; Physical Geography</t>
  </si>
  <si>
    <t>116GN</t>
  </si>
  <si>
    <t>Green Accepted</t>
  </si>
  <si>
    <t>WOS:000242790600011</t>
  </si>
  <si>
    <t>Hemer, MA; Church, JA; Hunter, JR</t>
  </si>
  <si>
    <t>Hemer, M. A.; Church, J. A.; Hunter, J. R.</t>
  </si>
  <si>
    <t>Waves and Climate Change on the Australian Coast</t>
  </si>
  <si>
    <t>JOURNAL OF COASTAL RESEARCH</t>
  </si>
  <si>
    <t>Climatology; waves; Australia</t>
  </si>
  <si>
    <t>HEMER, M.A.; CHURCH, J.A. and HUNTER, J.R., 2007. Waves and climate change on the Australian coast, SI 50 (Proceedings of the 9th International Coastal Symposium), 432 - 437. Gold Coast, Australia, ISSN 0749.0208. There is a need to plan for the impacts of coastal erosion in response to climate change Australia-wide. A deep-water wave climatology of the Australian region is determined, which is required as boundary conditions for coastal wave models. Available wave data for the Australian region has been analysed to determine the mean climatology and interannual variability of mean significant wave height. Available data includes global wave model output from the ECMWF 45-yr re-analysis, ERA-40; corrected ERA-40 wave heights and the NOAA WaveWatch III operational wave model; satellite altimetry measurements; and data from a network of 30 wave-rider buoys surrounding the Australian coast located on the inner-mid continental shelf and some short-term deep-water wave-rider buoy deployments. These data have been analysed to determine the long-term mean, annual cycle and interannual variability of the mean Australian wave climate. Correlation with a number of climate indices in the Australian region indicate that southern ocean wind anomalies are a dominant mechanism responsible for variability of wave climate in the region. Correlation between monthly mean significant wave heights and the Southern Oscillation Index is significant along Australia's eastern margin.</t>
  </si>
  <si>
    <t>[Hemer, M. A.; Church, J. A.] CSIRO Marine &amp; Atmospher Res, Hobart, Tas 7001, Australia; [Church, J. A.; Hunter, J. R.] Univ Tasmania, Antarctic Climate &amp; Ecosyst Cooperat Res Ctr, Hobart, Tas 7001, Australia</t>
  </si>
  <si>
    <t>Commonwealth Scientific &amp; Industrial Research Organisation (CSIRO); Antarctic Climate &amp; Ecosystems Cooperative Research Centre (ACE CRC); University of Tasmania</t>
  </si>
  <si>
    <t>Hemer, MA (corresponding author), CSIRO Marine &amp; Atmospher Res, Hobart, Tas 7001, Australia.</t>
  </si>
  <si>
    <t>mark.hemer@csiro.au; john.church@csiro.au; john.hunter@utas.edu.au</t>
  </si>
  <si>
    <t>Church, John A/A-1541-2012; Hemer, Mark/M-1905-2013</t>
  </si>
  <si>
    <t>Church, John A/0000-0002-7037-8194; Hemer, Mark/0000-0002-7725-3474</t>
  </si>
  <si>
    <t>Australian Greenhouse Office, Department of Environment Heritage; Australian Commonwealth</t>
  </si>
  <si>
    <t>This paper is a contribution to the CSIRO Climate Change Research Program and the sea-level rise program of the Antarctic Climate and Ecosystems Co-operative Research Centre. Research is supported by funding from the Australian Greenhouse Office, Department of Environment &amp; Heritage and Australian Commonwealth. We thank ECMWF for ERA-40; Andreas Sterl (KNMI) for C-ERA-40; NOAA for NWW3; The Bureau of Meteorology; Manly Hydraulics Laboratory, New South Wales State Government; Environmental Protection Authority (EPA), Queensland State Government; Department of Primary Industries, West Australian State Government; and the Port of Melbourne for buoy data.</t>
  </si>
  <si>
    <t>COASTAL EDUCATION &amp; RESEARCH FOUNDATION</t>
  </si>
  <si>
    <t>LAWRENCE</t>
  </si>
  <si>
    <t>810 EAST 10TH STREET, LAWRENCE, KS 66044 USA</t>
  </si>
  <si>
    <t>0749-0208</t>
  </si>
  <si>
    <t>J COASTAL RES</t>
  </si>
  <si>
    <t>J. Coast. Res.</t>
  </si>
  <si>
    <t>Environmental Sciences; Geography, Physical; Geosciences, Multidisciplinary</t>
  </si>
  <si>
    <t>Environmental Sciences &amp; Ecology; Physical Geography; Geology</t>
  </si>
  <si>
    <t>V16HI</t>
  </si>
  <si>
    <t>WOS:000207860300083</t>
  </si>
  <si>
    <t>Strand, P; Brown, J</t>
  </si>
  <si>
    <t>Strand, Per; Brown, Justin</t>
  </si>
  <si>
    <t>Radioactivity in the environment (including the Arctic and Antarctic). The International Conference in Nice, France, 2-6 October 2005</t>
  </si>
  <si>
    <t>JOURNAL OF ENVIRONMENTAL RADIOACTIVITY</t>
  </si>
  <si>
    <t>Norwegian Radiat Protect Author, N-1332 Osteras, Norway</t>
  </si>
  <si>
    <t>Strand, P (corresponding author), Norwegian Radiat Protect Author, POB 55, N-1332 Osteras, Norway.</t>
  </si>
  <si>
    <t>per.strand@nrpa.no</t>
  </si>
  <si>
    <t>Brown, Justin/0000-0002-2016-0971</t>
  </si>
  <si>
    <t>ELSEVIER SCI LTD</t>
  </si>
  <si>
    <t>THE BOULEVARD, LANGFORD LANE, KIDLINGTON, OXFORD OX5 1GB, OXON, ENGLAND</t>
  </si>
  <si>
    <t>0265-931X</t>
  </si>
  <si>
    <t>J ENVIRON RADIOACTIV</t>
  </si>
  <si>
    <t>J. Environ. Radioact.</t>
  </si>
  <si>
    <t>SI</t>
  </si>
  <si>
    <t>10.1016/j.jenvrad.2007.01.014</t>
  </si>
  <si>
    <t>203FN</t>
  </si>
  <si>
    <t>WOS:000248960600001</t>
  </si>
  <si>
    <t>Balonov, MI</t>
  </si>
  <si>
    <t>Balonov, M. I.</t>
  </si>
  <si>
    <t>The Chernobyl forum: major findings and recommendations</t>
  </si>
  <si>
    <t>2nd International Conference on Radioactivity in the Environment/6th International Conference on Environmental Radioactivity in the Arctic and Antarctic</t>
  </si>
  <si>
    <t>OCT 02-06, 2005</t>
  </si>
  <si>
    <t>Nice, FRANCE</t>
  </si>
  <si>
    <t>Chernobyl accident; health effects; environmental radioactivity; countermeasures</t>
  </si>
  <si>
    <t>The accident at the Chernobyl NPP in 1986 was the most severe in the history of the nuclear industry, causing a huge release of radionuclides over large areas of Europe. The recently completed Chernobyl Forum concluded that after a number of years, along with reduction of radiation levels and accumulation of humanitarian consequences, severe social and economic depression of the affected regions and associated psychological problems of the general public and the workers had become the most significant problem to be addressed by the authorities. The majority of the affected land is now safe for life and economic activities. However, in the Chernobyl Exclusion Zone and in some limited areas of Belarus, Russia and Ukraine some restrictions on land-use should be retained for decades to come. Most of the 600,000 emergency and recovery operation workers and five million residents of the contaminated areas in Belarus, Russia and Ukraine received relatively minor radiation doses which are comparable with the natural background levels. Apart from the dramatic increase in thyroid cancer incidence among those exposed at a young age and some increase of leukaemia and solid cancer in most exposed workers, there is no clearly demonstrated increase in the somatic diseases due to radiation. (c) 2007 Elsevier Ltd. All rights reserved.</t>
  </si>
  <si>
    <t>IAEA, A-1400 Vienna, Austria</t>
  </si>
  <si>
    <t>International Atomic Energy Agency</t>
  </si>
  <si>
    <t>Balonov, MI (corresponding author), Malaya Posadskaya St 19,Apt 30, St Petersburg 197046, Russia.</t>
  </si>
  <si>
    <t>m.balonov@iaea.org</t>
  </si>
  <si>
    <t>Balonov, Mikhail I/I-2407-2019</t>
  </si>
  <si>
    <t>10.1016/j.jenvrad.2007.01.015</t>
  </si>
  <si>
    <t>WOS:000248960600002</t>
  </si>
  <si>
    <t>Anspaugh, LR</t>
  </si>
  <si>
    <t>Anspaugh, Lynn R.</t>
  </si>
  <si>
    <t>Doses to members of the general public and observed effects on biota: Chernobyl Forum update</t>
  </si>
  <si>
    <t>Chernobyl; radiation; collective effective dose; thyroid dose; effects; biota; humans; accident</t>
  </si>
  <si>
    <t>ACCIDENT</t>
  </si>
  <si>
    <t>The Chernobyl Forum was organized by the United Nations to examine the health and environmental effects of the accident at the Chernobyl Nuclear Power Station. This paper is concerned with the environmental effects, as determined by Expert Group Environment. The accident resulted in release of a large amount of radioactive materials over a period of 10 days. These materials were deposited throughout Europe with the three more affected countries being Belarus, Russia, and Ukraine. More than 5 million persons lived on territories in these countries judged to be contaminated at &gt; 37 kBq m(-2). Many countermeasures were employed to mitigate the effects of the accident. The collective effective dose to the residents of the contaminated territories is estimated to be about 55 000 person-Sv. Effects on non-human biota were observed that ranged from minor to lethal; the current increase in the number and diversity of species in the most contaminated area is due to absence of human pressure. (c) 2007 Elsevier Ltd. All rights reserved.</t>
  </si>
  <si>
    <t>Univ Utah, Dept Radiol, Div Radiol, Salt Lake City, UT 84112 USA</t>
  </si>
  <si>
    <t>Utah System of Higher Education; University of Utah</t>
  </si>
  <si>
    <t>Anspaugh, LR (corresponding author), POB 777777, Henderson, NV 89077 USA.</t>
  </si>
  <si>
    <t>lanspaugh@aol.com</t>
  </si>
  <si>
    <t>10.1016/j.jenvrad.2006.12.001</t>
  </si>
  <si>
    <t>WOS:000248960600003</t>
  </si>
  <si>
    <t>Mothersill, C; Salbu, B; Heier, LS; Teien, HC; Denbeigh, J; Oughton, D; Rosseland, BO; Seymour, CB</t>
  </si>
  <si>
    <t>Mothersill, C.; Salbu, B.; Heier, L. S.; Teien, H. C.; Denbeigh, J.; Oughton, D.; Rosseland, B. O.; Seymour, C. B.</t>
  </si>
  <si>
    <t>Multiple stressor effects of radiation and metals in salmon (Salmo salar)</t>
  </si>
  <si>
    <t>fish radiation/metal response; fish tissue culture; stressor-induced bystander effects; fish stress responses; bioassay for multiple stressor effects</t>
  </si>
  <si>
    <t>TISSUE EXPLANT CULTURES; RAINBOW-TROUT; IONIZING-RADIATION; HEMATOPOIETIC-TISSUE; HUMAN KERATINOCYTES; BYSTANDER; CELL; IRRADIATION; EXPOSURE; RESPONSES</t>
  </si>
  <si>
    <t>These experiments were designed to look at the cellular effects in key organs in Atlantic salmon (Salmo salar) after exposure in vivo to radiation and subtoxic levels of aluminum (Al) and cadmium (U), alone or in combination. Salmon (25 g) were exposed to a single 0.5 Gy dose of gamma-irradiation in water containing Cd, Al or Cd + Al. Three fish per group were sacrificed after I It and the liver, pronephros, fin and gill of each was dissected. Small explants of each tissue were set up. After 2 days, the culture medium was harvested and filtered then placed on a reporter cell line for determination of stress signal activity (bystander effects). Radiation in combination with Cd and/or Al, caused bystander effects in tissues harvested from in vivo exposed salmon. The effects vary between different organs and are not consistently additive or synergistic for a given treatment. Tissue type appears to be critical. Liver cultures produce a toxic factor which is lethal to reporter cells, and therefore no liver data could be obtained. It is hoped that this stress signal response will prove to be a useful indicator of environmental stress in species inhabiting aquatic ecosystems. (c) 2007 Elsevier Ltd. All rights reserved.</t>
  </si>
  <si>
    <t>McMaster Univ, Dept Med Phys &amp; Appl Radiat Sci, Hamilton, ON L8S 4K1, Canada; Norwegian Univ Life Sci, Dept Plant &amp; Environm Sci, N-1432 As, Norway</t>
  </si>
  <si>
    <t>McMaster University; Norwegian University of Life Sciences</t>
  </si>
  <si>
    <t>Mothersill, C (corresponding author), McMaster Univ, Dept Med Phys &amp; Appl Radiat Sci, 1280 Main St,W, Hamilton, ON L8S 4K1, Canada.</t>
  </si>
  <si>
    <t>mothers@mcmaster.ca</t>
  </si>
  <si>
    <t>Oughton, Deborah/ADL-8515-2022</t>
  </si>
  <si>
    <t>1879-1700</t>
  </si>
  <si>
    <t>10.1016/j.jenvrad.2007.01.025</t>
  </si>
  <si>
    <t>WOS:000248960600004</t>
  </si>
  <si>
    <t>Doi, M; Kawaguchi, I</t>
  </si>
  <si>
    <t>Doi, Masahiro; Kawaguchi, Isao</t>
  </si>
  <si>
    <t>Ecological impacts of umbrella effects of radiation on the individual members</t>
  </si>
  <si>
    <t>umbrella effects; combined exposure; synergistic effects; community; individual</t>
  </si>
  <si>
    <t>SPECIES-DEFINED MICROCOSM; AQUATIC MICROCOSM; TETRAHYMENA</t>
  </si>
  <si>
    <t>In order to study the interactions in a model aquatic microcosm, an individual-based computer simulation model was developed. The microcosm consists of Euglena gracilis as an autotroph algae, Tetrahymena thermophila as a heterotroph protozoa and Escherichia coli as a saprotroph bacteria. There exists a strong interaction between Tetrahymena and E. coli as the first is the predator of the second. Ecological toxicity tests were conducted to test the population level impacts of the biological effects of radiation and toxicants on the lethality and mobility factors that influence directly or indirectly growth and reproduction. Radiological effects on lethality of E. coli individuals were translated to the reduction of the equilibrium population of Tetrahymena. A synergistic effect at the community level was also observed by the simulation of a combined exposure of radiation and a toxicant which reduced the feeding efficiency of Tetrahymena. (c) 2007 Elsevier Ltd. All rights reserved.</t>
  </si>
  <si>
    <t>Natl Inst Radiol Sci, Res Ctr Radiat Protect, Regulatory Sci Res Grp, Inage Ku, Chiba 2638555, Japan</t>
  </si>
  <si>
    <t>National Institutes for Quantum Science &amp; Technology</t>
  </si>
  <si>
    <t>Kawaguchi, I (corresponding author), Natl Inst Radiol Sci, Res Ctr Radiat Protect, Regulatory Sci Res Grp, Inage Ku, 4-9-1 Anagawa, Chiba 2638555, Japan.</t>
  </si>
  <si>
    <t>kawag@nirs.go.jp</t>
  </si>
  <si>
    <t>10.1016/j.jenvrad.2007.01.031</t>
  </si>
  <si>
    <t>WOS:000248960600005</t>
  </si>
  <si>
    <t>Carvalho, FP; Madruga, MJ; Reis, MC; Alves, JG; Oliveira, JM; Gouveia, J; Silva, L</t>
  </si>
  <si>
    <t>Carvalho, F. P.; Madruga, M. J.; Reis, M. C.; Alves, J. G.; Oliveira, J. M.; Gouveia, J.; Silva, L.</t>
  </si>
  <si>
    <t>Radioactivity in the environment around past radium and uranium mining sites of Portugal</t>
  </si>
  <si>
    <t>uranium mines; mill tailings; enhanced radioactivity; environmental remediation</t>
  </si>
  <si>
    <t>Measurements of ambient radiation doses and determination of radionuclide concentrations in mining waste and soils were performed in 60 areas of former radium and uranium mining. In several places, mining waste and low-grade uranium ore left on the surface contain radioactivity above regional background. Most of the former mining sites present no enhanced radionuclide concentrations. However, in the mining facilities where the radioactive ore was chemically extracted, mill tailings contain materials with elevated levels of radioactivity, up to 200 times the levels in unaffected soils of the region. Mud from neutralization ponds used to treat acid mine waters contains also elevated radionuclide concentrations. Furthermore, depending on the type of waste, the radioelement composition varies. Environmental rehabilitation measures shall take these differences into account in order to prevent in the long term the radioactive contamination of agriculture soils and water resources, and to ensure adequate radiological protection to the public and to the environment. (c) 2007 Elsevier Ltd. All rights reserved.</t>
  </si>
  <si>
    <t>Inst Tecnol &amp; Nucl, Departamento Proteccao Radiol &amp; Seguranca Nucl, P-2686953 Sacavem, Portugal</t>
  </si>
  <si>
    <t>Universidade de Lisboa</t>
  </si>
  <si>
    <t>Carvalho, FP (corresponding author), Inst Tecnol &amp; Nucl, Departamento Proteccao Radiol &amp; Seguranca Nucl, Estrada Nacl 10, P-2686953 Sacavem, Portugal.</t>
  </si>
  <si>
    <t>carvalho@itn.pt</t>
  </si>
  <si>
    <t>Alves, Joao/GQI-4252-2022; Gouveia, Jorge Mariano Fernandes/AAZ-9255-2021; Reis, Mário/Q-6247-2019; Carvalho, Fernando P./K-3486-2013; Madruga, Maria Jose/K-2952-2013</t>
  </si>
  <si>
    <t>Alves, Joao/0000-0001-7221-871X; Gouveia, Jorge Mariano Fernandes/0000-0002-8675-4625; Reis, Mário/0000-0003-4894-4564; Carvalho, Fernando da Piedade/0000-0002-6639-6138; Madruga, Maria Jose/0000-0002-3715-1617</t>
  </si>
  <si>
    <t>10.1016/j.jenvrad.2007.01.016</t>
  </si>
  <si>
    <t>WOS:000248960600006</t>
  </si>
  <si>
    <t>Salbu, B</t>
  </si>
  <si>
    <t>Salbu, Brit</t>
  </si>
  <si>
    <t>Speciation of radionuclides - analytical challenges within environmental impact and risk assessments</t>
  </si>
  <si>
    <t>radionuclide speciation; radioactive particles; electron microscopy; x-ray microscopic techniques</t>
  </si>
  <si>
    <t>PARTICLES; PLUTONIUM; SR-90</t>
  </si>
  <si>
    <t>The mobility, biological uptake and accumulation of radionuclides are essentially dependent on the physico-chemical form of the nuclides. As a major fraction of refractory radionuclides released during historical nuclear events is associated with particles, a key analytical challenge within environmental impact and risk assessments is to characterise radioactive particles with respect to properties influencing particle weathering, remobilisation and the subsequent ecosystem transfer of associated radionuclides. Preanalysis techniques are needed to fractionate, identify and localize individual particles in contaminated samples. To obtain information on particle characteristics such as particle size distributions, structures, elemental and radionuclide particle composition as well as oxidation state of matrix elements, solid-state speciation techniques are needed. Electron microscopy as well as X-ray microscopic techniques utilising synchrotron X-ray radiation have proved most useful in providing such information. The present paper summarises the present status on advanced techniques and presents historical sources that have contributed to radioactive particle contamination. (c) 2007 Elsevier Ltd. All rights reserved.</t>
  </si>
  <si>
    <t>Norwegian Univ Life Sci, Dept Environm &amp; Plant Sci, Isotope Lab, N-1432 As, Norway</t>
  </si>
  <si>
    <t>Norwegian University of Life Sciences</t>
  </si>
  <si>
    <t>Salbu, B (corresponding author), Norwegian Univ Life Sci, Dept Environm &amp; Plant Sci, Isotope Lab, N-1432 As, Norway.</t>
  </si>
  <si>
    <t>brit.salbu@umb.no</t>
  </si>
  <si>
    <t>10.1016/j.jenvrad.2007.01.028</t>
  </si>
  <si>
    <t>WOS:000248960600007</t>
  </si>
  <si>
    <t>Putyrskaya, V; Klemt, E</t>
  </si>
  <si>
    <t>Putyrskaya, Victoria; Klemt, Eckehard</t>
  </si>
  <si>
    <t>Modeling 137Cs migration processes in lake sediments</t>
  </si>
  <si>
    <t>modeling; radiocaesium; lake sediments</t>
  </si>
  <si>
    <t>RADIONUCLIDES; SOIL</t>
  </si>
  <si>
    <t>Lake sediments can be considered as the diary of the lake: new layers are continuously deposited on top of the sediments. The migration behavior of radionuclides, particularly Of Cs-137, can be analyzed by modeling the input into and the vertical distribution within the sediment. For this purpose, a model consisting of sedimentation-diffusion equations was developed. Solved with a finite element method, this model can cover the time period from the nuclear weapons testing to the present. It takes into account fixation and redissolution, compaction of sediments, and the influence of competing ions on the retarded diffusion within the sediments. The outcome of the model is compared to water and sediment measurements from Lago Maggiore. The results of an optimization process can produce the sedimentation rate and 137Cs distribution coefficients which determine the uptake of activity into the sediment and also the retarded diffusion within the sediment. (c) 2007 Elsevier Ltd. All rights reserved.</t>
  </si>
  <si>
    <t>Univ Appl Sci, Hochschule Ravensburg Weingarten, D-88250 Weingarten, Germany; Int Sakharov Environm Univ, Minsk 220009, BELARUS</t>
  </si>
  <si>
    <t>Klemt, E (corresponding author), Univ Appl Sci, Hochschule Ravensburg Weingarten, D-88250 Weingarten, Germany.</t>
  </si>
  <si>
    <t>klemt@hs-weingarten.de</t>
  </si>
  <si>
    <t>10.1016/j.jenvrad.2007.01.017</t>
  </si>
  <si>
    <t>WOS:000248960600008</t>
  </si>
  <si>
    <t>Jones, DG; Kershaw, PJ; McMahon, CA; Milodowski, AE; Murray, M; Hunt, GJ</t>
  </si>
  <si>
    <t>Jones, David G.; Kershaw, Peter J.; McMahon, Ciara A.; Milodowski, Antoni E.; Murray, Michael; Hunt, G. John</t>
  </si>
  <si>
    <t>Changing patterns of radionuclide distribution in Irish Sea subtidal sediments</t>
  </si>
  <si>
    <t>Irish Sea; sediments; Cs-137; Am-241; Pu-239,Pu-240; inventory</t>
  </si>
  <si>
    <t>This paper presents new data on the distribution of long-lived radionuclides in Irish Sea subtidal sediments, contaminated as a result of the BNFL Sellafield discharges. The results from different sampling campaigns in 1999 have been combined to assess the extent of radionuclide mobility relative to earlier surveys, in both the eastern and western Irish Sea areas, and to investigate changes in radionuclide distribution over time. The results appear to confirm the trend of continuing re-distribution and transfer of contamination away from the English coast. West of the Isle of Man, radionuclide concentrations and inventories have remained more or less constant. The inventory of radionuclides in sandy sediments in the eastern Irish Sea is still under-represented by current sampling, but could be improved by deeper and more extensive vibrocoring. (c) 2007 NERC. Published by Elsevier Ltd. All rights reserved.</t>
  </si>
  <si>
    <t>British Geol Survey, Keyworth NG12 5GG, Notts, England; Ctr Environm Fisheries &amp; Aquaculture Sci, Lowestoft NR33 0HT, Suffolk, England; Radiol Protect Inst Ireland, Dublin 14, Ireland</t>
  </si>
  <si>
    <t>UK Research &amp; Innovation (UKRI); Natural Environment Research Council (NERC); NERC British Geological Survey; Centre for Environment Fisheries &amp; Aquaculture Science</t>
  </si>
  <si>
    <t>Jones, DG (corresponding author), British Geol Survey, Keyworth NG12 5GG, Notts, England.</t>
  </si>
  <si>
    <t>dgj@bgs.ac.uk</t>
  </si>
  <si>
    <t>Kershaw, Peter/0000-0003-3485-7048; Milodowski, Antoni/0000-0002-5141-5615</t>
  </si>
  <si>
    <t>10.1016/j.jenvrad.2007.01.027</t>
  </si>
  <si>
    <t>WOS:000248960600009</t>
  </si>
  <si>
    <t>Wilson, RC; Batlle, JVI; Watts, SJ; McDonald, P; Parker, TG</t>
  </si>
  <si>
    <t>Wilson, R. C.; Vives i Batlle, J.; Watts, S. J.; McDonald, P.; Parker, T. G.</t>
  </si>
  <si>
    <t>Uptake and depuration of 131I from labelled diatoms (Skeletonema costatum) to the edible periwinkle (Littorina littorea)</t>
  </si>
  <si>
    <t>winkle; phytoplankton; Skeletonema costatum; biokinetic; uptake; depuration radioiodine; iodine</t>
  </si>
  <si>
    <t>Uptake and depuration of 1311 into winkles through consumption of the diatom Skeletonema costatum is described. The work follows on from previous studies that investigated the uptake of iodine into winkles from seawater and seaweed. Incorporation of 131, in S. costatum from labelled seawater followed linear first-order kinetics with an uptake half-time of 0.40 days. Iodine uptake in winkles from labelled S. costatum also followed linear first-order kinetics, with a calculated equilibrium concentration (C infinity) of 42 Bq kg(-1) and a transfer factor (TF) of 1.1 X 10(-4) with respect to labelled diatom food. This TF is lower than that observed for uptake of 131, in winkles from labelled seaweed. For the depuration stage, a biphasic sequence with biological half-lives of 1.3 and 255 days was determined. The first phase is biokinetically important, given that winkles can lose two-thirds of their activity during that period. This study shows that, whilst winkles can obtain radioactive iodine from phytoplankton consumption, they do not retain the majority of that activity for very long. Hence, compared with other exposure pathways, such as uptake from seawater and macroalgae, incorporation from phytoplankton is a relatively minor exposure route. (c) 2007 Elsevier Ltd. All rights reserved.</t>
  </si>
  <si>
    <t>Westlakes Sci Consulting Ltd, Moor Row CA24 3LN, Cumbria, England; British Nucl Grp, Sellafield CA20 1PG, Cumbria, England</t>
  </si>
  <si>
    <t>Sellafield Ltd</t>
  </si>
  <si>
    <t>Wilson, RC (corresponding author), Westlakes Sci Consulting Ltd, Princess Royal Bldg,Westlakes Sci &amp; Technol Pk, Moor Row CA24 3LN, Cumbria, England.</t>
  </si>
  <si>
    <t>richard.c.wilson@westlakes.ac.uk</t>
  </si>
  <si>
    <t>Wilson, Robert Christopher/JBJ-2758-2023</t>
  </si>
  <si>
    <t>Wilson, Robert Christopher/0000-0002-9668-4691; Vives i Batlle, Jordi/0000-0001-6346-3705</t>
  </si>
  <si>
    <t>10.1016/j.jenvrad.2007.01.018</t>
  </si>
  <si>
    <t>WOS:000248960600010</t>
  </si>
  <si>
    <t>Yoshida, S; Muramatsu, Y; Yamazaki, S; Ban-Nai, T</t>
  </si>
  <si>
    <t>Yoshida, S.; Muramatsu, Y.; Yamazaki, S.; Ban-nai, T.</t>
  </si>
  <si>
    <t>Distribution of nuclear bomb Pu in Nishiyama area, Nagasaki, estimated by accurate and precise determination of 240Pu/239Pu ratio in soils</t>
  </si>
  <si>
    <t>plutonium; isotope ratio; Nagasaki; soil; ICP-MS</t>
  </si>
  <si>
    <t>ICP-MS; PLUTONIUM; FALLOUT; PU-239</t>
  </si>
  <si>
    <t>Plutonium isotopes in forest soils collected in Nishiyama area, Nagasaki, were successfully determined by high resolution inductively coupled plasma mass spectrometry after the treatment with a microwave decomposition system. The (240)pU/Pu-239 atom ratios observed in the samples in the Nishiyama area were obviously lower than the range of the global fallout. The low ratios (minimum 0.032) observed in Nishiyama area indicated the influence of detonation of the Pu nuclear weapon in 1945. Since the area is contaminated also by global fallout, the (240)pU/Pu-239 atom ratio can be more sensitive indicator of bomb-derived Pu than Put activity concentration. (c) 2007 Elsevier Ltd. All rights reserved.</t>
  </si>
  <si>
    <t>Natl Inst Radiol Sci, Inage Ku, Chiba 2638555, Japan; Gakushuin Univ, Toshima Ku, Tokyo 1718588, Japan; Tokyo Nucl Serv Co Ltd, Taito Ku, Tokyo 1100005, Japan</t>
  </si>
  <si>
    <t>National Institutes for Quantum Science &amp; Technology; Gakushuin University</t>
  </si>
  <si>
    <t>Yoshida, S (corresponding author), Natl Inst Radiol Sci, Inage Ku, Anagawa 4-9-1, Chiba 2638555, Japan.</t>
  </si>
  <si>
    <t>s_yoshid@nirs.go.jp</t>
  </si>
  <si>
    <t>Yoshida, Satoshi/IUP-9514-2023</t>
  </si>
  <si>
    <t>10.1016/j.jenvrad.2007.01.019</t>
  </si>
  <si>
    <t>WOS:000248960600011</t>
  </si>
  <si>
    <t>Tyler, AN; Copplestone, D</t>
  </si>
  <si>
    <t>Tyler, Andrew N.; Copplestone, David</t>
  </si>
  <si>
    <t>Preliminary results from the first national in situ gamma spectrometry survey of the United Kingdom</t>
  </si>
  <si>
    <t>in situ gamma ray spectrometry; United Kingdom; pollution; radioactivity; soil; herbage</t>
  </si>
  <si>
    <t>DISTRIBUTIONS</t>
  </si>
  <si>
    <t>In situ gamma spectrometry was introduced as part of a national soil and herbage pollution survey of the United Kingdom (UK) in 2002, to evaluate its potential for complimenting or even replacing the conventional soil sampling approach in environmental monitoring. A total of 128 points were measured across the whole of the UK on a 50-krn grid, including I I calibration sites, encompassing a complete spectrum of soil types, geology and depositional environments. Good comparisons are demonstrated between in situ and soil sample derived estimates of environmental radioactivity from spatially matched sampling plans. Air kerma results and the contributions to air kerma rate are also presented and compared with calibrated conventional single parameter GM based instruments. The preliminary results are presented here and show that in situ gamma spectrometry provides a rapid and robust approach, providing spatially integrated estimates for environmental monitoring purposes. (c) 2007 Elsevier Ltd. All rights reserved.</t>
  </si>
  <si>
    <t>Univ Stirling, Sch Biol &amp; Environm Sci, Stirling FK9 4LA, Scotland; Environm Agcy, Warrington WA4 1HG, Cheshire, England</t>
  </si>
  <si>
    <t>University of Stirling</t>
  </si>
  <si>
    <t>Tyler, AN (corresponding author), Univ Stirling, Sch Biol &amp; Environm Sci, Stirling FK9 4LA, Scotland.</t>
  </si>
  <si>
    <t>a.n.tyler@stir.ac.uk</t>
  </si>
  <si>
    <t>Copplestone, David/GYQ-9145-2022; Tyler, Andrew N/F-2034-2010</t>
  </si>
  <si>
    <t>Tyler, Andrew/0000-0003-0604-5827; Copplestone, David/0000-0002-1468-9545</t>
  </si>
  <si>
    <t>10.1016/j.jenvrad.2007.01.029</t>
  </si>
  <si>
    <t>WOS:000248960600012</t>
  </si>
  <si>
    <t>Komura, K; Kuwahara, Y; Abe, T; Tanaka, K; Murata, Y; Inoue, M</t>
  </si>
  <si>
    <t>Komura, K.; Kuwahara, Y.; Abe, T.; Tanaka, K.; Murata, Y.; Inoue, M.</t>
  </si>
  <si>
    <t>Measurements of short-lived cosmic-ray-produced radionuclides in rainwater</t>
  </si>
  <si>
    <t>cosmic ray produced nuclide; rain water; berrylium-7; sodoim-22; sodium-24; magnesium-28; chlorine-38; chlorine-39; sulfur-38; gamma ray spectrometry; underground laboratory; ogoya underground laboratory</t>
  </si>
  <si>
    <t>ATMOSPHERIC ARGON; RAIN WATER; RADIATION; P-32</t>
  </si>
  <si>
    <t>Cosmic-ray-produced (CP) nuclides with half-lives shorter than 21 It were measured in rainwater by ultra-low-background gamma spectrometry at Ogoya Underground Laboratory. As levels of CP nuclides are extremely low and their half-lives are very short, quick sampling methods for a large volume of rainwater and rapid chemical separations by ion exchange method were developed. The nuclides measured were short-lived 24 Na Mg-28, S-38, Cl-38, Cl-39, as well as nuclides with longer half-lives 7 Be and 22 Na. The number of atoms of CP nuclides in rainwater were evaluated to range from 30 to 1500 L-1 for 24 Na (n = 16, mean; 520 [6.7 mBq L-1]), 80 to 600 L-1 for Mg-28 (n = 13, mean; 260 [2.4 mBq L-1]), 400 to 1900 L-1 for (CI)-C-39 (n=6, mean; 1200 [250mBqL(-1)]), I X 106 to 4 x 107 L-1 for 7 Be (n = 16, mean; 7 x 1 06 [1.05 Bq L-1]) and 2 x 103 to I x 10(5) L-1 for 22 Na (n = 9, mean; 2 x 104 [0.2 mBq L-1]). (c) 2007 Elsevier Ltd. All rights reserved.</t>
  </si>
  <si>
    <t>Kanazawa Univ, Inst Nat &amp; Environm Technol K INET, Low Level Radioactiv Lab, Tatsunokuchi, Ishikawa 9231224, Japan</t>
  </si>
  <si>
    <t>Kanazawa University</t>
  </si>
  <si>
    <t>Komura, K (corresponding author), Kanazawa Univ, Inst Nat &amp; Environm Technol K INET, Low Level Radioactiv Lab, Tatsunokuchi, Ishikawa 9231224, Japan.</t>
  </si>
  <si>
    <t>komura@yu.incl.ne.jp</t>
  </si>
  <si>
    <t>10.1016/j.jenvrad.2007.01.022</t>
  </si>
  <si>
    <t>WOS:000248960600013</t>
  </si>
  <si>
    <t>Lauritzen, B; Baklanov, A; Mahura, A; Mikkelsen, T; Sorensen, JH</t>
  </si>
  <si>
    <t>Lauritzen, Bent; Baklanov, Alexander; Mahura, Alexander; Mikkelsen, Torbert; Sorensen, Jens H.</t>
  </si>
  <si>
    <t>Probabilistic risk assessment for long-range atmospheric transport of radionuclides</t>
  </si>
  <si>
    <t>long-range transport; pollutants; K-model; deposition; risk assessment</t>
  </si>
  <si>
    <t>DISPERSION MODEL</t>
  </si>
  <si>
    <t>A simplified means of probabilistic risk assessment (PRA) for long-range atmospheric transport based on a K-diffusion model is presented. In a case study, model parameters are estimated by comparing with the results of long-range atmospheric dispersion model calculations using one-year numerical weather prediction model data. It is found that the estimated ensemble mean provides a reasonable first approximation to the total dry and wet deposition from the one-year continuous release. (c) 2007 Elsevier Ltd. All rights reserved.</t>
  </si>
  <si>
    <t>Riso Natl Lab, DK-4000 Roskilde, Denmark; Danish Meterol Inst, DK-2100 Copenhagen, Denmark</t>
  </si>
  <si>
    <t>Technical University of Denmark; Danish Meteorological Institute DMI</t>
  </si>
  <si>
    <t>Lauritzen, B (corresponding author), Riso Natl Lab, DK-4000 Roskilde, Denmark.</t>
  </si>
  <si>
    <t>bent.lauritzen@risoe.dk</t>
  </si>
  <si>
    <t>Baklanov, Alexander/AAB-7460-2022; Mikkelsen, Torben K/N-3123-2013; Sørensen, Jens Havskov/ABI-4246-2022; Mikkelsen, Torben Krogh/AAN-3516-2020; Mikkelsen, Torben K/E-7997-2010; Lauritzen, Bent/AAM-5189-2020</t>
  </si>
  <si>
    <t>Baklanov, Alexander/0000-0002-5396-8440; Mikkelsen, Torben K/0000-0002-5428-856X; Sørensen, Jens Havskov/0000-0003-1756-8893; Mikkelsen, Torben Krogh/0000-0002-5428-856X; Lauritzen, Bent/0000-0001-7173-1650</t>
  </si>
  <si>
    <t>10.1016/j.jenvrad.2007.01.026</t>
  </si>
  <si>
    <t>WOS:000248960600014</t>
  </si>
  <si>
    <t>Bradley, MM</t>
  </si>
  <si>
    <t>Bradley, Michael M.</t>
  </si>
  <si>
    <t>NARAC: an emergency response resource for predicting the atmospheric dispersion and assessing the consequences of airborne radionuclides</t>
  </si>
  <si>
    <t>NARAC atmospheric dispersion; radiation dose; plume model; nuclear emergency</t>
  </si>
  <si>
    <t>The National Atmospheric Release Advisory Center (NARAC) serves as a national resource for the United States, providing tools and services to quickly predict the environmental contamination and health effects caused by airborne radionuclides, and to provide scientifically based guidance to emergency managers for the protection of human life. NARAC's scientists have developed a diverse tool kit of numerical modeling capabilities to respond to different types of release events, distance scales (local, regional, continental, and global), and response times. (c) 2007 Elsevier Ltd. All rights reserved.</t>
  </si>
  <si>
    <t>Lawrence Livermore Natl Lab, Natl Atmospher Release Advisory Ctr, Livermore, CA 94551 USA</t>
  </si>
  <si>
    <t>United States Department of Energy (DOE); Lawrence Livermore National Laboratory</t>
  </si>
  <si>
    <t>Bradley, MM (corresponding author), Lawrence Livermore Natl Lab, Natl Atmospher Release Advisory Ctr, L-103,.21POB 808, Livermore, CA 94551 USA.</t>
  </si>
  <si>
    <t>mbradley@llnl.gov</t>
  </si>
  <si>
    <t>10.1016/j.jenvrad.2007.01.020</t>
  </si>
  <si>
    <t>WOS:000248960600015</t>
  </si>
  <si>
    <t>Sorensen, JH; Baklanov, A; Hoe, S</t>
  </si>
  <si>
    <t>Sorensen, Jens Havskov; Baklanov, Alexander; Hoe, Steen</t>
  </si>
  <si>
    <t>The Danish emergency response model of the atmosphere (DERMA)</t>
  </si>
  <si>
    <t>atmospheric dispersion model; turbulent diffusion; deposition; meteorology; emergency preparedness</t>
  </si>
  <si>
    <t>MOUTH-DISEASE VIRUS; LONG-RANGE TRANSPORT; HAZARDOUS MATTER; CONSEQUENCES; DISPERSION; PREPAREDNESS; METHODOLOGY; DEPOSITION; DIFFUSION; ENSEMBLE</t>
  </si>
  <si>
    <t>The three-dimensional atmospheric dispersion model DERMA is of Lagrangian type making use of a hybrid stochastic particle-puff diffusion description. It is currently capable of describing plumes at downwind distances greater than about 20 km and up to the global scale. The model employs aerosolsize dependent dry and wet deposition parameterisations. DERMA is developed and used mainly for nuclear emergency preparedness purposes, and it has recently become integrated with the ARGOS nuclear decision-support system. (c) 2007 Elsevier Ltd. All fights reserved.</t>
  </si>
  <si>
    <t>Danish Meteorol Inst, Meteorol Res Div, DK-2100 Copenhagen, Denmark; Danish Emergency Management Agcy, DK-3460 Birkerod, Denmark</t>
  </si>
  <si>
    <t>Danish Meteorological Institute DMI</t>
  </si>
  <si>
    <t>Sorensen, JH (corresponding author), Danish Meteorol Inst, Meteorol Res Div, Lyngbyvej 100, DK-2100 Copenhagen, Denmark.</t>
  </si>
  <si>
    <t>jhs@dmi.dk</t>
  </si>
  <si>
    <t>Sørensen, Jens Havskov/ABI-4246-2022; Baklanov, Alexander/AAB-7460-2022</t>
  </si>
  <si>
    <t>Sørensen, Jens Havskov/0000-0003-1756-8893; Baklanov, Alexander/0000-0002-5396-8440</t>
  </si>
  <si>
    <t>10.1016/j.jenvrad.2007.01.030</t>
  </si>
  <si>
    <t>WOS:000248960600016</t>
  </si>
  <si>
    <t>Stepanets, O; Borisov, A; Ligaev, A; Solovjeva, G; Travkina, A</t>
  </si>
  <si>
    <t>Stepanets, O.; Borisov, A.; Ligaev, A.; Solovjeva, G.; Travkina, A.</t>
  </si>
  <si>
    <t>Radioecological investigations in shallow bays of the Novaya Zemlya Archipelago in 2002-2005</t>
  </si>
  <si>
    <t>radionuclides; solid radioactive waste; radiochemical analysis; bottom sediments; shallow bays</t>
  </si>
  <si>
    <t>The results of a survey of underwater disposal sites of potentially hazardous objects in the Kara Sea and Oga, Tsivolky, Stepovoy and Abrosimov Bays are presented. Radionuclide levels were determined, using gamma-spectrometric and radiochemical methods, in zones near to and remote from buried solid radioactive waste in the outer and inner parts of the Bays. At the repository of the solid radioactive waste containers in the inner part of the Stepovoy Bay and Abrosimov Bay, higher than background concentrations of Cs-137 were determined in samples of bottom sediments. At one of the sites located in the Stepovoy Bay Cs-137 and (CO)-C-60 were detected. (c) 2007 Elsevier Ltd. All rights reserved.</t>
  </si>
  <si>
    <t>Russian Acad Sci, Vernadskyi Inst Geochem &amp; Analyt Chem, Moscow 119991, Russia</t>
  </si>
  <si>
    <t>Russian Academy of Sciences; Vernadsky Institute of Geochemistry &amp; Analytical Chemistry</t>
  </si>
  <si>
    <t>Stepanets, O (corresponding author), Russian Acad Sci, Vernadskyi Inst Geochem &amp; Analyt Chem, 19 Kosygina St, Moscow 119991, Russia.</t>
  </si>
  <si>
    <t>stepanet@geokhi.ru</t>
  </si>
  <si>
    <t>Travkina, Anna/T-9500-2019</t>
  </si>
  <si>
    <t>10.1016/j.jenvrad.2007.01.021</t>
  </si>
  <si>
    <t>WOS:000248960600017</t>
  </si>
  <si>
    <t>Nikitin, AI; Chumichev, VB; Valetova, NK; Katrich, IY; Kabanov, AI; Dunaev, GE; Shkuro, VN; Mironenko, AN; Kireeva, EV</t>
  </si>
  <si>
    <t>Nikitin, Alexander I.; Chumichev, Vladimir B.; Valetova, Nailia K.; Katrich, Ivan Yu.; Kabanov, Alexander I.; Dunaev, Gennady E.; Shkuro, Valentina N.; Mironenko, Alexander N.; Kireeva, Elena V.</t>
  </si>
  <si>
    <t>The current content of artificial radionuclides in the water of the Tobol-Irtysh river system (from the mouth of the Iset River to the confluence with the Ob River)</t>
  </si>
  <si>
    <t>Mayak PA; Tobol River; Irtysh River; river water; Sr-90; Cs-137; Pu-239,Pu-240; H-3</t>
  </si>
  <si>
    <t>Data on content of Sr-90, (CS)-C-137, 239,240 Pit and 3 H in water of the Tobol-Irtysh part of the Techa-Iset-Tobol-Irtysh-Ob river system (through which the Mayak PA radioactive wastes are transported) are presented and discussed. The data were received in 2004-2005 under the ISTC project on radioecological monitoring of the Tobol and Irtysh rivers. Monthly observations Of 137CS, 90Sr and 3 H content in water in the area of the Tobol and Irtysh confluence have been conducted starting from May 2004. To obtain information on the investigated river system as a whole, the radioecological survey of the Tobol and Irtysh rivers at the section from the mouth of the Iset River to the confluence with the Ob River was carried out in 2004. It is shown that the impact of Mayak PA waste transport by 90Sr is distinctly traced as far as the area of the Irtysh and Ob confluence. (c) 2007 Elsevier Ltd. All rights reserved.</t>
  </si>
  <si>
    <t>SI RPA Typhoon Roshydromet, Obninsk 249038, Kaluga Region, Russia; RAS, Tobolsk Biol Stn, Tobolsk 626150, Tyumen Region, Russia</t>
  </si>
  <si>
    <t>Russian Academy of Sciences</t>
  </si>
  <si>
    <t>Nikitin, AI (corresponding author), SI RPA Typhoon Roshydromet, 82 Lenin Ave, Obninsk 249038, Kaluga Region, Russia.</t>
  </si>
  <si>
    <t>nikitin@typhoon.obninsk.ru</t>
  </si>
  <si>
    <t>10.1016/j.jenvrad.2007.01.023</t>
  </si>
  <si>
    <t>WOS:000248960600018</t>
  </si>
  <si>
    <t>Korobova, EM; Brown, JB; Ukraintseva, NG; Surkov, VV</t>
  </si>
  <si>
    <t>Korobova, Elena M.; Brown, Justin B.; Ukraintseva, Natalia G.; Surkov, Vitaly V.</t>
  </si>
  <si>
    <t>137Cs and 40K in the terrestrial vegetation of the Yenisey Estuary:: landscape, soil and plant relationships</t>
  </si>
  <si>
    <t>radioecology; Yenisey; Estuary; Tundra; landscape; Cs-137; K-40; aggregated transfer factor; mosses; lichens; willow; grasses</t>
  </si>
  <si>
    <t>RADIOACTIVE CONTAMINATION</t>
  </si>
  <si>
    <t>Plant species, forming important components of Arctic food chains and of interest from a monitoring perspective, were studied at 36 plots representing flood plain and terrace landscapes of the Yenisey River and Estuary from its upper delta to the gulf. Cs-137 contamination densities at the plots varied from 0.35 kBq/m(2) (central delta, sandy riverside plot) to 88 kBq/m(2) (the upper delta plot) indicating both global and regional sources of anthropogenic pollution. Cs-137 levels in plants were within the range expected from global fallout inputs and varied from 31 to 140 Bq/kg d.w. increasing in dominant groups in the order: grasses &lt; alder, willow (leaves), lichens &lt; mosses (upper part) &lt; mosses (lower part), litter. Tundra plants exhibited remarkably high 137Cs Tag values (0.03-0.1 m(2)/kg) comparable to those found on swampy areas contaminated by Chernobyl fallout. The frontal delta island seems to act as a barrier, contributing to local accumulation of 137Cs as reflected in higher inventories in soil and biomass. Horsetail and willow leaves were noted for higher K-40 content and lower Cs-137 Tag compared to mosses and alder, respectively. This makes the latter plant types more appropriate indicators Of Cs-137 contamination. (c) 2007 Elsevier Ltd. All rights reserved.</t>
  </si>
  <si>
    <t>Russian Acad Sci, VI Vernadsky Inst Geochem &amp; Analyt Chem, Moscow 119991, Russia; Nowegian Radiat Protect Author, N-1332 Osteras, Norway; Moscow MV Lomonosov State Univ, Moscow 119334, Russia</t>
  </si>
  <si>
    <t>Russian Academy of Sciences; Vernadsky Institute of Geochemistry &amp; Analytical Chemistry; Lomonosov Moscow State University</t>
  </si>
  <si>
    <t>Korobova, EM (corresponding author), Russian Acad Sci, VI Vernadsky Inst Geochem &amp; Analyt Chem, Kosygin Str 19, Moscow 119991, Russia.</t>
  </si>
  <si>
    <t>korobova@geokhi.ru</t>
  </si>
  <si>
    <t>Korobova, Elena M/AAO-9019-2021; Korobova, Elena M/I-8224-2018</t>
  </si>
  <si>
    <t>Korobova, Elena/0000-0002-1512-9291; Brown, Justin/0000-0002-2016-0971</t>
  </si>
  <si>
    <t>10.1016/j.jenvrad.2007.01.024</t>
  </si>
  <si>
    <t>WOS:000248960600019</t>
  </si>
  <si>
    <t>Dickinson, M; Mallard, DC; Heard, PJ</t>
  </si>
  <si>
    <t>Dickinson, M.; Mallard, D. C.; Heard, P. J.</t>
  </si>
  <si>
    <t>Instruments and methods application of cryo-SIMS to the analysis of polar ice</t>
  </si>
  <si>
    <t>JOURNAL OF GLACIOLOGY</t>
  </si>
  <si>
    <t>SCANNING-ELECTRON-MICROSCOPE; GRAIN-BOUNDARIES; ANTARCTIC ICE; IMPURITIES; CHEMISTRY; ACID</t>
  </si>
  <si>
    <t>The suitability of secondary ion mass spectrometry (SIMS) for the analysis of polar ice is assessed. A magnetic sector SIMS instrument, modified to permit analysis of cryogenically prepared specimens, was used to analyze a sample of naled ice from in front of midre Lovenbreen, Svalbard. The ion-induced secondary electron imaging capability of the instrument permitted identification of features such as grain boundaries, triple junctions, filaments, pore spaces and cracks. Secondary ion maps were acquired with sub-micron resolution, permitting the characterization of chemical impurities at grain boundaries. Two regions of interest were analyzed and are described in detail. In the first, discrete particles of impurity (possibly precipitates) containing Na, Mg, K and Cl were identified along a grain boundary. Additionally, Mg was found to be present along the full length of the boundary. In the second analysis, impurity containing Na, Mg, K and Cl was found at a triple junction and some evidence for segregation of impurity to grain boundaries was gained. In both regions of analysis, Na, K and Cl were more apparent in grain interiors than Mg, despite the presence of the latter element at the boundaries. Results corroborate previous scanning electron microscopy with energy-dispersive X-ray spectrometry (SEM-EDS) observations.</t>
  </si>
  <si>
    <t>Univ Bristol, Interface Anal Ctr, Bristol BS2 8BS, Avon, England; Univ Bristol, Dept Earth Sci, Bristol BS8 1RJ, Avon, England</t>
  </si>
  <si>
    <t>University of Bristol; University of Bristol</t>
  </si>
  <si>
    <t>Dickinson, M (corresponding author), Univ Bristol, Interface Anal Ctr, 121 St Michaels Hill, Bristol BS2 8BS, Avon, England.</t>
  </si>
  <si>
    <t>M.Dickinson@bristol.ac.uk</t>
  </si>
  <si>
    <t>Heard, Peter/C-2155-2008</t>
  </si>
  <si>
    <t>Heard, Peter/0000-0002-8926-4680</t>
  </si>
  <si>
    <t>EDINBURGH BLDG, SHAFTESBURY RD, CB2 8RU CAMBRIDGE, ENGLAND</t>
  </si>
  <si>
    <t>0022-1430</t>
  </si>
  <si>
    <t>1727-5652</t>
  </si>
  <si>
    <t>J GLACIOL</t>
  </si>
  <si>
    <t>J. Glaciol.</t>
  </si>
  <si>
    <t>10.3189/172756507781833875</t>
  </si>
  <si>
    <t>161IK</t>
  </si>
  <si>
    <t>WOS:000246007900005</t>
  </si>
  <si>
    <t>Zhang, SK; E, DC; Wang, ZM; Zhou, CX; Shen, QA</t>
  </si>
  <si>
    <t>Zhang Shengkai; E Dongchen; Wang Zemin; Zhou Chunxia; Shen Qiang</t>
  </si>
  <si>
    <t>Surface topography around the summit of Dome A, Antarctica, from real-time kinematic GPS</t>
  </si>
  <si>
    <t>PRINCESS-ELIZABETH-LAND; LAMBERT GLACIER BASIN; ICE-SHEET; CENTRAL GREENLAND; EAST ANTARCTICA; BED TOPOGRAPHY; STATION; CLIMATE</t>
  </si>
  <si>
    <t>Wuhan Univ, Sch Geodesy &amp; Geomat, Chinese Antarctic Ctr Surveying &amp; Mapping, Wuhan 430079, Peoples R China</t>
  </si>
  <si>
    <t>Wuhan University</t>
  </si>
  <si>
    <t>Zhang, SK (corresponding author), Wuhan Univ, Sch Geodesy &amp; Geomat, Chinese Antarctic Ctr Surveying &amp; Mapping, 129 Luoyu Rd, Wuhan 430079, Peoples R China.</t>
  </si>
  <si>
    <t>zskai@whu.edu.cn</t>
  </si>
  <si>
    <t>ZeMin, Wang/AAU-3422-2020; shen, qiang/IZE-6775-2023</t>
  </si>
  <si>
    <t>shen, qiang/0000-0001-9401-4160</t>
  </si>
  <si>
    <t>10.3189/172756507781833965</t>
  </si>
  <si>
    <t>WOS:000246007900016</t>
  </si>
  <si>
    <t>Perovich, DK</t>
  </si>
  <si>
    <t>Perovich, Donald K.</t>
  </si>
  <si>
    <t>Light reflection and transmission by a temperate snow cover</t>
  </si>
  <si>
    <t>GREENLAND ICE-SHEET; SEA-ICE; RADIATIVE-TRANSFER; OPTICAL-PROPERTIES; ANTARCTIC SNOW; BIDIRECTIONAL REFLECTANCE; ULTRAVIOLET-RADIATION; SPECTRAL ALBEDOS; SOLAR-RADIATION; SURFACE ALBEDO</t>
  </si>
  <si>
    <t>An understanding of the reflection and transmission of light by snow is important for snow thermodynamics, hydrology, ecology and remote sensing. Snow has an intricate microstructure replete with ice/air interfaces that scatter light. Spectral observations of light reflection and transmission, from 400 to 1000 nm, were made in temperate snowpacks, under cold and under melting conditions. The optical observations were made using a dual-detector spectroradiometer. One detector was placed above the snow surface to monitor the incident and reflected solar irradiance, and the second detector was placed at the base of snow cover to measure downwelling irradiance. The optical measurements were supplemented by a physical characterization of the snow, including depth, density and an estimate of grain size. In general, transmitted light levels were low and showed a strong spectral dependence, with maximum values between 450 and 550 nm. For example, a 10 cm thick snow layer reduced visible transmission (500 nm) to about 5% of the incident irradiance, and infrared transmission (800 nm) to less than 1%. Extinction coefficients were in the range 3-30 m(-1), and tended to decrease slightly as the snow aged and increase as snow density increased.</t>
  </si>
  <si>
    <t>USA, Cold Reg Res &amp; Engn Lab, Engn Res &amp; Dev Ctr, Hanover, NH 03755 USA</t>
  </si>
  <si>
    <t>United States Department of Defense; United States Army; U.S. Army Corps of Engineers; U.S. Army Engineer Research &amp; Development Center (ERDC); Cold Regions Research &amp; Engineering Laboratory (CRREL)</t>
  </si>
  <si>
    <t>Perovich, DK (corresponding author), USA, Cold Reg Res &amp; Engn Lab, Engn Res &amp; Dev Ctr, 72 Lyme Rd, Hanover, NH 03755 USA.</t>
  </si>
  <si>
    <t>donald.k.perovich@erdc.usace.army.mil</t>
  </si>
  <si>
    <t>INT GLACIOL SOC</t>
  </si>
  <si>
    <t>LENSFIELD RD, CAMBRIDGE CB2 1ER, ENGLAND</t>
  </si>
  <si>
    <t>10.3189/172756507782202919</t>
  </si>
  <si>
    <t>190QH</t>
  </si>
  <si>
    <t>WOS:000248073500005</t>
  </si>
  <si>
    <t>Rousselot, M; Fischer, UH</t>
  </si>
  <si>
    <t>Rousselot, Marie; Fischer, Urs H.</t>
  </si>
  <si>
    <t>A laboratory study of ploughing</t>
  </si>
  <si>
    <t>ICE STREAM-B; TILL DEFORMATION; SOFT BED; GLACIER; SHEAR; FLOW; SEDIMENT</t>
  </si>
  <si>
    <t>A new laboratory device is used to investigate the resistance to clast ploughing at the base of glaciers. In experiments in which a ploughing tip is dragged at different velocities and effective normal stresses through water-saturated sediment from Unteraargletscher, Switzerland, pore pressures above and below the hydrostatic level develop around the tip. The absolute magnitude of these nonhydrostatic pore pressures increases with the ploughing velocity but remains small compared to the sediment yield strength, so that the pore pressures do not significantly weaken the sediment. The shear stress on the tip is independent of the velocity but scales with the applied effective normal stress, in agreement with a Coulomb-plastic behavior of the sediment. The results indicate that, depending upon position close to the object, both sediment compaction and dilation can influence the pore-pressure distribution and thus the sediment yield strength. Comparison with other studies of clast ploughing suggests that the significance of sediment weakening in front of ploughing clasts may depend on the relative magnitudes of the non-hydrostatic pore pressures. Therefore, depending on the dominant pore-pressure response of the deforming sediment, clast ploughing may have the potential to either trigger ice-flow instabilities or stabilize glacier motion.</t>
  </si>
  <si>
    <t>Australian Antarctic Div, Dept Environm &amp; Heritage, Hobart, Tas 7001, Australia; Antarctic Climate &amp; Ecosyst CRC, Hobart, Tas 7001, Australia; ETH Zentrum, Lab Hydraul Hydrol &amp; Glaciol, CH-8092 Zurich, Switzerland</t>
  </si>
  <si>
    <t>Australian Antarctic Division; University of Tasmania; Swiss Federal Institutes of Technology Domain; ETH Zurich</t>
  </si>
  <si>
    <t>Rousselot, M (corresponding author), Meteo France, Ctr Etudes Neige, 1441 Rue Piscine, F-38406 St Martin Dheres, France.</t>
  </si>
  <si>
    <t>marie.rousselot@meteo.fr</t>
  </si>
  <si>
    <t>10.3189/172756507782202775</t>
  </si>
  <si>
    <t>WOS:000248073500007</t>
  </si>
  <si>
    <t>Cathles, LM; Cathles, LM; Albert, MR</t>
  </si>
  <si>
    <t>Cathles, L. Madagan; Cathles, L. M., III; Albert, M. R.</t>
  </si>
  <si>
    <t>Instruments and methods - A physically based method for correcting temperature profile measurements made using thermocouples</t>
  </si>
  <si>
    <t>SNOW; ICE</t>
  </si>
  <si>
    <t>High-frequency (diurnal) temperature variations occur simultaneously at multiple depths separated by meters of snow in at least several and probably many Arctic and Antarctic thermocouple datasets. These temperature variations cannot be caused by heat conduction from the surface because their amplitudes are too large and there is no phase lag with depth, and they cannot be caused by heat advection because the air flux required is greater than is available. Rather, the simultaneous temperature variations (STVs) appear to originate within the box that houses the data logger as thermocouple-like offset voltages, wire heating or thermistor error. The STVs can be corrected by requiring that the temperatures vary smoothly with time at the greatest depth at which temperature is measured. The correction voltage determined in this fashion, when applied to the thermocouples at other depths, corrects the entire dataset. The method successfully removes STVs with 24 hour period that are up to 3.8 degrees C in amplitude, and is superior to the averaging techniques commonly used to correct thermocouple data because it introduces no spurious (non-physical) temperature variations. The correction method described can be applied to all thermocouple data where temperature measurements have been made at depths similar to 0.5 m into the snowpack. The corrections should allow more physical process and parameter information to be extracted more confidently from existing firm temperature data. Identification of the STVs and their probable cause also suggests how better data might be collected in the future.</t>
  </si>
  <si>
    <t>Univ Chicago, Dept Geophys Sci, Chicago, IL 60637 USA; Cornell Univ, Dept Earth &amp; Atmospher Sci, Ithaca, NY 14883 USA; USA, Cold Reg Res &amp; Engn Lab, Hanover, NH 03755 USA</t>
  </si>
  <si>
    <t>University of Chicago; Cornell University; United States Department of Defense; United States Army; U.S. Army Corps of Engineers; U.S. Army Engineer Research &amp; Development Center (ERDC); Cold Regions Research &amp; Engineering Laboratory (CRREL)</t>
  </si>
  <si>
    <t>Cathles, LM (corresponding author), Univ Chicago, Dept Geophys Sci, 5734 S Ellis Ave, Chicago, IL 60637 USA.</t>
  </si>
  <si>
    <t>mcathles@uchicago.edu</t>
  </si>
  <si>
    <t>10.3189/172756507782202892</t>
  </si>
  <si>
    <t>WOS:000248073500014</t>
  </si>
  <si>
    <t>Iverson, NR; Hooyer, TS; Fischer, UH; Cohen, D; Moore, PL; Jackson, M; Lappegard, G; Kohler, J</t>
  </si>
  <si>
    <t>Iverson, N. R.; Hooyer, T. S.; Fischer, U. H.; Cohen, D.; Moore, P. L.; Jackson, M.; Lappegard, G.; Kohler, J.</t>
  </si>
  <si>
    <t>Soft-bed experiments beneath Engabreen, Norway: regelation infiltration, basal slip and bed deformation</t>
  </si>
  <si>
    <t>ICE STREAM B; GRAIN-SIZE DISTRIBUTION; SUBGLACIAL TILL; SEDIMENT ENTRAINMENT; GLACIER; FLOW; MODEL; SHEAR; MECHANISM; RHEOLOGY</t>
  </si>
  <si>
    <t>To avoid some of the limitations of studying soft-bed processes through boreholes, a prism of simulated till (1.8 m x 1.6 m x 0.45 m) with extensive instrumentation was constructed in a trough blasted in the rock bed of Engabreen, a temperate glacier in Norway. Tunnels there provide access to the bed beneath 213 m of ice. Pore-water pressure was regulated in the prism by pumping water to it. During experiments lasting 7-12 days, the glacier regelated downward into the prism to depths of 5080 mm, accreting ice-infiltrated till at rates predicted by theory. During periods of sustained high pore-water pressure (70-100% of overburden), ice commonly slipped over the prism, due to a water layer at the prism surface. Deformation of the prism was activated when this layer thinned to a sub-millimeter thickness. Shear strain in the till was pervasive and decreased with depth. A model of slip by ploughing of ice-infiltrated till across the prism surface accounts for the slip that occurred when effective pressure was sufficiently low or high. Slip at low effective pressures resulted from water-layer thickening that increased non-linearly with decreasing effective pressure. If sufficiently widespread, such slip over soft glacier beds, which involves no viscous deformation resistance, may instigate abrupt increases in glacier velocity.</t>
  </si>
  <si>
    <t>Iowa State Univ, Dept Geol &amp; Atmospher Sci, Ames, IA 50011 USA; Wisconsin Geol &amp; Nat Hist Survey, Madison, WI 53705 USA; Antarctic Climate &amp; Ecosyst CRC, Hobart, Tas 7001, Australia; Norwegian Water Resources &amp; Energy Directorate, NVE, NO-0301 Oslo, Norway; Univ Oslo, Dept Geog, NO-0316 Oslo, Norway; Polar Environm Ctr, Norwegian Polar Inst, NO-9005 Tromso, Norway; Australian Antarctic Div, Hobart, Tas 7001, Australia</t>
  </si>
  <si>
    <t>Iowa State University; University of Tasmania; Norwegian Water Resources &amp; Energy Directorate; University of Oslo; Norwegian Polar Institute; Australian Antarctic Division</t>
  </si>
  <si>
    <t>Iverson, NR (corresponding author), Iowa State Univ, Dept Geol &amp; Atmospher Sci, Ames, IA 50011 USA.</t>
  </si>
  <si>
    <t>niverson@iastate.edu</t>
  </si>
  <si>
    <t>Jackson, Miriam/M-1898-2018; Cohen, Denis/P-2015-2016</t>
  </si>
  <si>
    <t>Jackson, Miriam/0000-0003-3719-6716; Kohler, Jack/0000-0003-1963-054X; Moore, Peter/0000-0002-9523-6141; Cohen, Denis/0000-0002-8262-9798</t>
  </si>
  <si>
    <t>10.3189/002214307783258431</t>
  </si>
  <si>
    <t>233WA</t>
  </si>
  <si>
    <t>Green Submitted, Bronze</t>
  </si>
  <si>
    <t>WOS:000251119800001</t>
  </si>
  <si>
    <t>Jacka, TH; Giles, AB</t>
  </si>
  <si>
    <t>Jacka, Tim H.; Giles, A. Barry</t>
  </si>
  <si>
    <t>Antarctic iceberg distribution and dissolution from ship-based observations</t>
  </si>
  <si>
    <t>LARSEN ICE SHELF; EAST ANTARCTICA; POLAR ICE; OCEAN; COLLAPSE; RETREAT; DRIFT; PACIFIC</t>
  </si>
  <si>
    <t>The Australian Antarctic Program's iceberg dataset (from ship-based observations), including information from the austral summer seasons 1984/85 to 1999/2000, is examined and used to extend earlier studies. Using 'snapshots' of the iceberg population to provide an idea of the iceberg life cycle, the distribution of icebergs between 60 and 150 degrees E is discussed in terms of calving regions and ocean currents. Temporal changes are also examined. The discussion leads us to the point where we can define an area, bounded to the north by the maximum sea-ice limit and to the south by the Antarctic Divergence, in which icebergs are confined as they drift eastward. This allows estimation of total dissolution, in terms of iceberg numbers and volume, within 10 degrees longitudinal sectors and, with knowledge of drift speeds, iceberg movement rates and freshwater input across the sector. Iceberg dissolution rates are found to be similar to 0.03-0.05 m d(-1) and the total mass contribution of fresh water to the ocean as the icebergs traverse our 30(degrees) of longitude study sector is similar to 32 Gt. This amounts to a contribution equivalent to precipitation of similar to 15.5 cm a(-1), accounting for similar to 2% of the total iceberg discharge from the Antarctic ice sheet.</t>
  </si>
  <si>
    <t>Australian Antarctic Div, Dept Environm &amp; Heritage, Hobart, Tas 7001, Australia; Antarctic Climate &amp; Ecosyst CRC, Hobart, Tas 7001, Australia; Spurion Technol Pty Ltd, Hobart, Tas 7001, Australia</t>
  </si>
  <si>
    <t>Australian Antarctic Division; University of Tasmania</t>
  </si>
  <si>
    <t>Jacka, TH (corresponding author), Australian Antarctic Div, Dept Environm &amp; Heritage, Private Bag 80, Hobart, Tas 7001, Australia.</t>
  </si>
  <si>
    <t>jglac@bigpond.com</t>
  </si>
  <si>
    <t>10.3189/002214307783258521</t>
  </si>
  <si>
    <t>WOS:000251119800002</t>
  </si>
  <si>
    <t>Ll, ZQ; Ll, CJ; Ll, YF; Wang, FT; Ll, HL</t>
  </si>
  <si>
    <t>Ll Zhongqin; Ll Chuanjin; Ll Yuefang; Wang Feiteng; Ll Huilin</t>
  </si>
  <si>
    <t>Preliminary results from measurements of selected trace metals in the snow-firn pack on Urumqi glacier No. 1, eastern Tien Shan, China</t>
  </si>
  <si>
    <t>CENTRAL GREENLAND SNOW; HEAVY-METALS; ATMOSPHERIC-POLLUTION; ICE CORE; SEASONAL-VARIATIONS; LEAD POLLUTION; ANTARCTIC ICE; SURFACE SNOW; ALPINE FIRN; RECORD</t>
  </si>
  <si>
    <t>We present preliminary results on the occurrence of Pb, Cd, Zn, Al and Fe in dated samples collected from snow-firn packs at an altitude of 4130 m on Urumqi glacier No. 1, eastern Tien Shan. Extreme precautions for avoiding contamination were taken throughout the sampling, processing, transportation and analysis procedures. The concentrations of trace metals were determined by a double-focusing inductively coupled plasma mass spectrometer in an ultra-clean room. The average concentrations for these metals in surface snow are (in ng g(-1)): Pb, 2.4; Cd, 0.05; Zn, 10.0; Al, 100.0; and Fe, 130.0. These are higher concentrations (especially for Pb and Zn) than those in the polar and/or low-latitude remote areas. The data show that the input of trace metals to the snow has a clear seasonal change. Lower concentrations in surface snow can be found in July through September and higher concentrations from October to March, with an exception for January. The mean concentrations of the elements in the snow-firn pack also indicate seasonal variations and show a marked inverse relationship with temperature, possibly a result of meltwater percolation in the snow-firn pack.</t>
  </si>
  <si>
    <t>Chinese Acad Sci, Key Lab Cryosphere &amp; Environm Tianshan Glaciol St, Cold &amp; Arid Reg Environm &amp; Engn Res Inst, Lanzhou 730000, Peoples R China</t>
  </si>
  <si>
    <t>Chinese Academy of Sciences; Cold &amp; Arid Regions Environmental &amp; Engineering Research Institute, CAS</t>
  </si>
  <si>
    <t>Ll, ZQ (corresponding author), Chinese Acad Sci, Key Lab Cryosphere &amp; Environm Tianshan Glaciol St, Cold &amp; Arid Reg Environm &amp; Engn Res Inst, Lanzhou 730000, Peoples R China.</t>
  </si>
  <si>
    <t>lizq@lzb.ac.cn</t>
  </si>
  <si>
    <t>WOS:000251119800005</t>
  </si>
  <si>
    <t>Rotschky, G; Holmlund, P; Isaksson, E; Mulvaney, R; Oerter, H; Van Den Broeke, MR; Winther, JG</t>
  </si>
  <si>
    <t>Rotschky, Gerit; Holmlund, Per; Isaksson, Elisabeth; Mulvaney, Robert; Oerter, Hans; Van Den Broeke, Michiel R.; Winther, Jan-Gunnar</t>
  </si>
  <si>
    <t>A new surface accumulation map for western Dronning Maud Land, Antarctica, from interpolation of point measurements</t>
  </si>
  <si>
    <t>SHALLOW FIRN CORES; SNOW-ACCUMULATION; EAST ANTARCTICA; MASS-BALANCE; SPATIAL-DISTRIBUTION; ICE-SHEET; VARIABILITY; ISOTOPE; RECORD; AMUNDSENISEN</t>
  </si>
  <si>
    <t>As a result of intensive field activities carried out by several nations over the past 15 years, a set of accumulation measurements for western Dronning Maud Land, Antarctica, was collected, based on firn-core drilling and snow-pit sampling. This new information was supplemented by earlier data taken from the literature, resulting in I I I accumulation values. Using Geographical information Systems software, a first region-wide mean annual snow-accumulation field was derived. in order to define suitable interpolation criteria, the accumulation records were analyzed with respect to their spatial autocorrelation and statistical properties. The resulting accumulation pattern resembles well-known characteristics such as a relatively wet coastal area with a sharp transition to the dry interior, but also reveals complex topographic effects. Furthermore, this work identifies new high-return shallow-drilling sites by uncovering areas of insufficient sampling density.</t>
  </si>
  <si>
    <t>Alfred Wegener Inst Polar &amp; Marine Res, D-27515 Bremerhaven, Germany; Stockholm Univ, Dept Phys Geog, SE-10691 Stockholm, Sweden; Polar Environm Ctr, Norwegian Polar Inst, NO-9296 Tromso, Norway; British Antarctic Survey, NERC, Cambridge CB3 0ET, England; Univ Utrecht, Inst Marine &amp; Atmospher Res Utrecht, NL-3584 CC Utrecht, Netherlands</t>
  </si>
  <si>
    <t>Helmholtz Association; Alfred Wegener Institute, Helmholtz Centre for Polar &amp; Marine Research; Stockholm University; Norwegian Polar Institute; UK Research &amp; Innovation (UKRI); Natural Environment Research Council (NERC); NERC British Antarctic Survey; Utrecht University</t>
  </si>
  <si>
    <t>Rotschky, G (corresponding author), Alfred Wegener Inst Polar &amp; Marine Res, POB 120161, D-27515 Bremerhaven, Germany.</t>
  </si>
  <si>
    <t>grotschky@awi-bremerhaven.de</t>
  </si>
  <si>
    <t>Van den Broeke, Michiel R./F-7867-2011; Mulvaney, Robert/K-3929-2012</t>
  </si>
  <si>
    <t>Van den Broeke, Michiel R./0000-0003-4662-7565; Mulvaney, Robert/0000-0002-5372-8148</t>
  </si>
  <si>
    <t>NERC [bas010016] Funding Source: UKRI; Natural Environment Research Council [bas010016] Funding Source: researchfish</t>
  </si>
  <si>
    <t>10.3189/002214307783258459</t>
  </si>
  <si>
    <t>WOS:000251119800007</t>
  </si>
  <si>
    <t>Bougamont, M; Hunke, EC; Tulaczyk, S</t>
  </si>
  <si>
    <t>Bougamont, Marion; Hunke, Elizabeth C.; Tulaczyk, Slawek</t>
  </si>
  <si>
    <t>Sensitivity of ocean circulation and sea-ice conditions to loss of West Antarctic ice shelves and ice sheet</t>
  </si>
  <si>
    <t>LEVEL RISE; MODEL; COLLAPSE; MELTWATER</t>
  </si>
  <si>
    <t>We use a global coupled ocean-sea ice model to test the hypothesis that the disintegration of the West Antarctic ice sheet (WAIS), or just its ice shelves, may modify ocean circulation and sea-ice conditions in the Southern Ocean. We compare the results of three model runs: (1) a control run with a standard (modern) configuration of landmask in West Antarctica, (2) a no-shelves run with West Antarctic ice shelves removed and (3) a no-WAIS run. In the latter two runs, up to a few million square kilometres of new sea surface area opens to sea-ice formation, causing the volume and extent of Antarctic sea-ice cover to increase compared with the control run. In general, near-surface waters are cooler around Antarctica in the no-shelves and no-WAIS model runs than in the control run, while warm intermediate and deep waters penetrate further south, increasing poleward heat transport. Varying regional responses to the imposed changes in landmask configuration are determined by the fact that Antarctic polynyas and fast ice develop in different parts of the model domain in each run. Model results suggest that changes in the extent of WAIS may modify oceanographic conditions in the Southern Ocean.</t>
  </si>
  <si>
    <t>Univ Calif Santa Cruz, Dept Earth &amp; Planetary Sci, Santa Cruz, CA 95064 USA; Los Alamos Natl Lab, Fluid Dynam Grp T3, Los Alamos, NM 87545 USA</t>
  </si>
  <si>
    <t>University of California System; University of California Santa Cruz; United States Department of Energy (DOE); Los Alamos National Laboratory</t>
  </si>
  <si>
    <t>Bougamont, M (corresponding author), Univ Bristol, Sch Geog Sci, Bristol Glaciol Ctr, Bristol BS8 1SS, Avon, England.</t>
  </si>
  <si>
    <t>tulaczyk@pmc.ucsc.ed</t>
  </si>
  <si>
    <t>; Tulaczyk, Slawek/O-7375-2018</t>
  </si>
  <si>
    <t>Bougamont, Marion Heidi/0000-0001-7196-4171; Tulaczyk, Slawek/0000-0002-9711-4332</t>
  </si>
  <si>
    <t>10.3189/002214307783258440</t>
  </si>
  <si>
    <t>WOS:000251119800018</t>
  </si>
  <si>
    <t>Bassis, JN; Fricker, HA; Coleman, R; Bock, Y; Behrens, J; Darnell, D; Okal, M; Minster, JB</t>
  </si>
  <si>
    <t>Bassis, Jeremy N.; Fricker, Helen A.; Coleman, Richard; Bock, Yehuda; Behrens, James; Darnell, Dennis; Okal, Marianne; Minster, Jean-Bernard</t>
  </si>
  <si>
    <t>Seismicity and deformation associated with ice-shelf rift propagation</t>
  </si>
  <si>
    <t>AMERY ICE; ANTARCTICA; PHASE</t>
  </si>
  <si>
    <t>Previous observations have shown that rift propagation on the Amery Ice Shelf (AIS), East Antarctica, is episodic, occurring in bursts of several hours with typical recurrence times of several weeks. Propagation events were deduced from seismic swarms (detected with seismometers) concurrent with rapid rift widening (detected with GPS receivers). In this study, we extend these results by deploying seismometers and GPS receivers in a dense network around the tip of a propagating rift on the AIS over three field seasons (2002/03, 2004/05 and 2005/06). The pattern of seismic event locations shows that icequakes cluster along the rift axis, extending several kilometers back from where the rift tip was visible in the field. Patterns of icequake event locations also appear aligned with the ice-shelf flow direction, along transverse-to-rift crevasses. However, we found some key differences in the seismicity between field seasons. Both the number of swarms and the number of events within each swarm decreased during the final field season. The timing of the slowdown closely corresponds to the rift tip entering a suture zone, formed where two ice streams merge upstream. Beneath the suture zone lies a thick band of marine ice. We propose two hypotheses for the observed slowdown: (1) defects within the ice in the suture zone cause a reduction in stress concentration ahead of the rift tip; (2) increased marine ice thickness in the rift path slows propagation. We show that the size-frequency distribution of icequakes approximately follows a power law, similar to the well-known Gutenberg-Richter law for earthquakes. However, large icequakes are not preceded by foreshocks nor are they followed by aftershocks. Thus rift-related seismicity differs from the classic foreshock and aftershock distribution that is characteristic of large earth quakes.</t>
  </si>
  <si>
    <t>[Bassis, Jeremy N.; Fricker, Helen A.; Bock, Yehuda; Behrens, James; Darnell, Dennis; Okal, Marianne; Minster, Jean-Bernard] Univ Calif San Diego, Scripps Inst Oceanog, Inst Geophys &amp; Planetary Phys, La Jolla, CA 92093 USA; [Coleman, Richard] Univ Tasmania, Ctr Marine Sci, Hobart, Tas 7001, Australia; [Coleman, Richard] CSIRO, Marine &amp; Atomspher Res, Hobart, Tas 7001, Australia; [Coleman, Richard] CRC, Antarctic Climate &amp; Ecosyst, Hobart, Tas 7001, Australia</t>
  </si>
  <si>
    <t>University of California System; University of California San Diego; Scripps Institution of Oceanography; University of Tasmania; Commonwealth Scientific &amp; Industrial Research Organisation (CSIRO)</t>
  </si>
  <si>
    <t>Bassis, JN (corresponding author), Univ Calif San Diego, Scripps Inst Oceanog, Inst Geophys &amp; Planetary Phys, La Jolla, CA 92093 USA.</t>
  </si>
  <si>
    <t>jbassis@ucsd.edu</t>
  </si>
  <si>
    <t>Okal, Marianne/P-5336-2017; Bassis, Jeremy/ABB-8628-2021; Coleman, Richard/H-4425-2012</t>
  </si>
  <si>
    <t>Okal, Marianne/0000-0002-9344-6196; Bassis, Jeremy/0000-0003-2946-7176; Coleman, Richard/0000-0002-9731-7498; Fricker, Helen Amanda/0000-0002-0921-1432; Minster, Jean Bernard/0000-0003-1268-5177</t>
  </si>
  <si>
    <t>10.3189/002214307784409207</t>
  </si>
  <si>
    <t>254ZL</t>
  </si>
  <si>
    <t>WOS:000252626400001</t>
  </si>
  <si>
    <t>Sunil, PS; Reddy, CD; Ponraj, M; Dhar, A; Jayapaul, D</t>
  </si>
  <si>
    <t>Sunil, P. S.; Reddy, C. D.; Ponraj, M.; Dhar, Ajay; Jayapaul, D.</t>
  </si>
  <si>
    <t>GPS determination of the velocity and strain-rate fields on Schirmacher Glacier, central Dronning Maud Land, Antarctica</t>
  </si>
  <si>
    <t>EAST ANTARCTICA; GEODETIC MEASUREMENT; SAR INTERFEROMETRY; SHIRASE GLACIER; LAMBERT GLACIER; ICE-FLOW; DEFORMATION; CALIFORNIA; BALANCE; SPACE</t>
  </si>
  <si>
    <t>Global positioning system (GPS) campaigns were conducted during the 2003 and 2004 austral summer seasons to obtain insight into the velocity and strain-rate distribution on Schirmacher Glacier, central Dronning Maud Land, East Antarctica. CPS data were collected at 21 sites and analyzed to estimate the site coordinates, baselines and velocities. The short-term precision of the base station, MAIT, is estimated from the daily coordinate repeatability solutions during the two years. All CPS points on the glacier were constrained with respect to MAIT and nearby International GPS Service stations. Horizontal velocities of the glacier sites lie between 1.89 +/- 0.01 and 10.88 +/- 0.01 m a(-1) to the north-northeast, with an average velocity of 6.21 +/- 0.01 m a(-1). The principal strain rates provide a quantitative measurement of extension rates, which range from (0.11 +/- 0.01) X 10(-3) to (1.48 +/- 0.85) x 10(-3) a(-1), and shortening rates, which range from (0.04 +/- 0.02) x 10(-3) to (0.96 +/- 0.16) X 10-3 a(-1). The velocity and strain-rate distributions across the GPS network in Schirmacher Glacier are spatially correlated with topography, subsurface undulations, fracture zones/crevasses and the partial blockage of the flow by nunataks and the Schirmacher Oasis.</t>
  </si>
  <si>
    <t>[Sunil, P. S.; Reddy, C. D.; Ponraj, M.; Dhar, Ajay] Indian Inst Geomagnetism, Bombay 410218, Maharashtra, India; [Jayapaul, D.] Geol Survey India, Antarctic Div, Faridabad 121001, India</t>
  </si>
  <si>
    <t>Department of Science &amp; Technology (India); Indian Institute of Geomagnetism (IIG); Geological Survey India</t>
  </si>
  <si>
    <t>Sunil, PS (corresponding author), Indian Inst Geomagnetism, New Panvel, Bombay 410218, Maharashtra, India.</t>
  </si>
  <si>
    <t>sunilps@iigs.iigm.res.in</t>
  </si>
  <si>
    <t>Sunil, P. S./E-6631-2011</t>
  </si>
  <si>
    <t>10.3189/002214307784409199</t>
  </si>
  <si>
    <t>WOS:000252626400004</t>
  </si>
  <si>
    <t>Parrenin, F; Hindmarsh, R</t>
  </si>
  <si>
    <t>Parrenin, Frederic; Hindmarsh, Richard</t>
  </si>
  <si>
    <t>Influence of a non-uniform velocity field on isochrone geometry along a steady flowline of an ice sheet</t>
  </si>
  <si>
    <t>ECHO SOUNDING DATA; ACCUMULATION PATTERN; INTERNAL LAYERS; RADAR; AGE; ANTARCTICA; ZONE</t>
  </si>
  <si>
    <t>The relationship between velocity field and isochrone geometry along a steady flowline of an ice sheet is examined. The method is analytical and based upon the stream function and its vertically normalized form, the normalized stream function (NSF). We show that the slope of the isochrones is the slope of the iso-NSF lines, plus a path term which is the cumulative result of the past trajectory of the ice particles. We illustrate this path term in three different examples: varying basal melting, varying basal sliding (Weertman effect) and varying velocity profile around a divide (Raymond effect). The path term generally counteracts the slope of the iso-NSF lines. In the case of the Raymond effect, it can even lead to depressions surrounding the bumps if the transition from dome to flank velocity profile is sufficiently abrupt.</t>
  </si>
  <si>
    <t>[Parrenin, Frederic] CNRS, UJF, Lab Glaciol &amp; Geophys Environm, F-38402 St Martin Dheres, France; [Hindmarsh, Richard] British Antarctic Survey, Nat Environm Res Council, Cambridge CB3 0ET, England</t>
  </si>
  <si>
    <t>Centre National de la Recherche Scientifique (CNRS); Communaute Universite Grenoble Alpes; Universite Grenoble Alpes (UGA); UK Research &amp; Innovation (UKRI); Natural Environment Research Council (NERC); NERC British Antarctic Survey</t>
  </si>
  <si>
    <t>Parrenin, F (corresponding author), CNRS, UJF, Lab Glaciol &amp; Geophys Environm, 54 Rue Moliere,BP 96, F-38402 St Martin Dheres, France.</t>
  </si>
  <si>
    <t>Parrenin, Frédéric/H-3054-2014; Hindmarsh, Richard/N-1195-2019</t>
  </si>
  <si>
    <t>Parrenin, Frédéric/0000-0002-9489-3991; Hindmarsh, Richard/0000-0003-1633-2416</t>
  </si>
  <si>
    <t>Natural Environment Research Council [bas010018] Funding Source: researchfish; NERC [bas010018] Funding Source: UKRI</t>
  </si>
  <si>
    <t>10.3189/002214307784409298</t>
  </si>
  <si>
    <t>WOS:000252626400010</t>
  </si>
  <si>
    <t>Genthon, C; Lardeux, P; Krinner, G</t>
  </si>
  <si>
    <t>Genthon, Christophe; Lardeux, Pierre; Krinner, Gerhard</t>
  </si>
  <si>
    <t>The surface accumulation and ablation of a coastal blue-ice area near Cap Prudhomme, Terre Adelie, Antarctica</t>
  </si>
  <si>
    <t>MASS-BALANCE; SNOW-COVER; MODEL; SENSITIVITY; STATIONS</t>
  </si>
  <si>
    <t>A record of accumulation and ablation from a network of 47 stakes at a coastal blue-ice area in Terre Adelie, Antarctica, is presented and analyzed. The record covers early 2004 to early 2006, from 25 field surveys including some in austral winter. The two years are very different, with a virtually null surface mass balance during the 2004 winter but large accumulation during the 2005 winter. A snow/ice energy- and mass-balance model is used to reproduce the accumulation and ablation record. A parameterization for snow erosion by wind is included. Input meteorology is from the European Centre for Medium-Range Weather Forecasts (ECMWF) analyses and forecasts, corrected using I year of local meteorological observations from an automatic weather station. Model results agree reasonably well with the observations. Wind erosion is the largest contributor to ablation, removing much of the precipitation. Sublimation and, to a lesser extent, melt/runoff together account for &gt;60 cm w.e. of ablation in 2 years, mainly in summer. Although the record is short, it confirms high interannual variability and thus high sensitivity to meteorology and climate. Monitoring and understanding the mass balance of such coastal blue-ice areas may help monitor and detect climate change in the Antarctic coastal regions.</t>
  </si>
  <si>
    <t>[Genthon, Christophe; Lardeux, Pierre; Krinner, Gerhard] CNRS, UJF, Lab Glaciol &amp; Geophys Environm, F-38402 St Martin Dheres, France</t>
  </si>
  <si>
    <t>Centre National de la Recherche Scientifique (CNRS); Communaute Universite Grenoble Alpes; Universite Grenoble Alpes (UGA)</t>
  </si>
  <si>
    <t>Genthon, C (corresponding author), CNRS, UJF, Lab Glaciol &amp; Geophys Environm, 54 Rue Moliere, BP 96, F-38402 St Martin Dheres, France.</t>
  </si>
  <si>
    <t>genthon@lgge.obs.ujf-grenoble.fr</t>
  </si>
  <si>
    <t>Krinner, Gerhard/A-6450-2011; Krinner, Gerhard/AAB-8837-2022; Lardeux, Pierre/E-1954-2014</t>
  </si>
  <si>
    <t>Krinner, Gerhard/0000-0002-2959-5920; Lardeux, Pierre/0000-0001-7860-3053</t>
  </si>
  <si>
    <t>10.3189/002214307784409333</t>
  </si>
  <si>
    <t>Bronze, Green Submitted</t>
  </si>
  <si>
    <t>WOS:000252626400012</t>
  </si>
  <si>
    <t>Humbert, A</t>
  </si>
  <si>
    <t>Humbert, Angelika</t>
  </si>
  <si>
    <t>Numerical simulations of the ice flow dynamics of george VI ice Shelf, Antarctica</t>
  </si>
  <si>
    <t>PENINSULA; RETREAT</t>
  </si>
  <si>
    <t>A diagnostic, dynamic/thermodynamic ice-shelf model is applied to the George VI Ice Shelf, situated in the Bellinghausen Sea, Antarctica. The George VI Ice Shelf has a peculiar flow geometry which sets it apart from other ice shelves. inflow occurs along the two longest, and almost parallel, sides, whereas outflow occurs on the two ice fronts that are relatively short and situated at opposite ends of the ice shelf. Two data sources were used to derive the ice thickness distribution: conventional radio-echo sounding from the British Antarctic Survey was combined with thickness inferred from surface elevation obtained by the NASA GLAS satellite system assuming hydrostatic equilibrium. We simulate the present ice flow over the ice shelf that results from the ice thickness distribution, the inflow at the grounding line and the flow rate factor. The high spatial resolution of the ice thickness distribution leads to very detailed simulations. The flow field has some extraordinary elements (e.g. the stagnation point characteristics resulting from the unusual ice-shelf geometry).</t>
  </si>
  <si>
    <t>Tech Univ Darmstadt, Dept Mech Engn, Sect Mech, D-64289 Darmstadt, Germany</t>
  </si>
  <si>
    <t>Technical University of Darmstadt</t>
  </si>
  <si>
    <t>Humbert, A (corresponding author), Tech Univ Darmstadt, Dept Mech Engn, Sect Mech, Hochschulstr 1, D-64289 Darmstadt, Germany.</t>
  </si>
  <si>
    <t>humbert@mechanik.tu-darmstadt.de</t>
  </si>
  <si>
    <t>Humbert, Angelika/0000-0002-0244-8760</t>
  </si>
  <si>
    <t>10.3189/002214307784409180</t>
  </si>
  <si>
    <t>WOS:000252626400014</t>
  </si>
  <si>
    <t>King, EC; Woodward, J; Smith, AM</t>
  </si>
  <si>
    <t>King, Edward C.; Woodward, John; Smith, Andy M.</t>
  </si>
  <si>
    <t>Seismic and radar observations of subglacial bed forms beneath the onset zone of Rutford Ice Stream Antarctica</t>
  </si>
  <si>
    <t>SEA-FLOOR EVIDENCE; PINE ISLAND BAY; CONTINENTAL-SHELF; BASAL CONDITIONS; CANADIAN SHIELD; SHEET; DYNAMICS; EXTENT</t>
  </si>
  <si>
    <t>We present seismic and radar data from the onset region of Rutford Ice Stream, West Antarctica, which show the form and internal structure of a variety of bed forms beneath an active ice stream. The ice flow in the area of our survey accelerates from 72 to &gt;200 m a(-1), the ice is 2200-3200 m thick, and the bed of the ice stream lies up to 2000m below present sea level. We have imaged the internal structure of the bed forms with seismic reflection techniques and also observed radar reflections from below the bed in some circumstances. We observed a transverse moraine 2 km wide and 1.5 km long beneath the slower-flowing part of the ice stream, which we interpret to be composed of unconsolidated sediment undergoing active deformation near the ice-sediment interface. We observed drumlins of classical form with elongation ratios of between 1 :1.5 and 1 : 4.0 where the surface flow speed exceeded 95 m a(-1). The conformity of the internal structure of the bed forms with the ice base suggests that the bed forms are active depositional features in congruence with the observation of a contemporary drumlin-forming episode in the distal part of the same ice stream. These observations provide the first direct evidence of the association between ice-stream flow speed and bed-form shape.</t>
  </si>
  <si>
    <t>[King, Edward C.; Smith, Andy M.] British Antarctic Survey, NERC, Cambridge CB3 0ET, England; [Woodward, John] Northumbria Univ, Sch Appl Sci, Newcastle Upon Tyne NE1 8ST, Tyne &amp; Wear, England</t>
  </si>
  <si>
    <t>UK Research &amp; Innovation (UKRI); Natural Environment Research Council (NERC); NERC British Antarctic Survey; Northumbria University</t>
  </si>
  <si>
    <t>King, EC (corresponding author), British Antarctic Survey, NERC, Madingley Rd, Cambridge CB3 0ET, England.</t>
  </si>
  <si>
    <t>ecki@bas.ac.uk</t>
  </si>
  <si>
    <t>Woodward, John/I-1046-2013</t>
  </si>
  <si>
    <t>Woodward, John/0000-0002-4980-4080</t>
  </si>
  <si>
    <t>10.3189/002214307784409216</t>
  </si>
  <si>
    <t>WOS:000252626400015</t>
  </si>
  <si>
    <t>Takahashi, S; Kameda, T</t>
  </si>
  <si>
    <t>Takahashi, Shuhei; Kameda, Takao</t>
  </si>
  <si>
    <t>Instruments and methods - Snow density for measuring surface mass balance using the stake method</t>
  </si>
  <si>
    <t>DRONNING MAUD LAND; ANTARCTICA</t>
  </si>
  <si>
    <t>A measure of snow density is required to estimate water equivalent ice-sheet surface mass balance (SMB) from stake measurements. Previous studies have utilized the snow density at different depths within the snow. By considering the snow densification process in the time interval between stake height measurements, we find that use of the snow density at the base of the stake is more appropriate. We assume the stakes are firmly anchored at the bottom and that Sorge's law holds, i.e. the density-depth profile does not change with time. Applying this method to the data for 36 snow stakes on Dome Fuji, the SMB in 2003 was 36.5 kg m(-2) a(-1), 27% larger than the previous estimate, which used surface snow density. Correct selection of the snow density for SMB estimations is important, especially for Antarctic inland areas where accumulation is low (e.g. Dome Fuji, Vostok, Dome C and South Pole) and where the snow density near the surface varies markedly.</t>
  </si>
  <si>
    <t>[Takahashi, Shuhei; Kameda, Takao] Kitami Inst Technol, Snow &amp; Ice Res Lab, Kitami, Hokkaido 0908507, Japan</t>
  </si>
  <si>
    <t>Kitami Institute of Technology</t>
  </si>
  <si>
    <t>Takahashi, S (corresponding author), Kitami Inst Technol, Snow &amp; Ice Res Lab, Koen Cho 165, Kitami, Hokkaido 0908507, Japan.</t>
  </si>
  <si>
    <t>shuhei@mail.kitami-it.ac.jp</t>
  </si>
  <si>
    <t>Takahashi, Shuhei/0000-0003-2303-8928; Kameda, Takao/0000-0001-6317-4399</t>
  </si>
  <si>
    <t>10.3189/002214307784409360</t>
  </si>
  <si>
    <t>WOS:000252626400017</t>
  </si>
  <si>
    <t>Williamson, BR; Kreutz, KJ; Mayewski, PA; Bertler, NAN; Sneed, S; Handley, M; Introne, D</t>
  </si>
  <si>
    <t>Williamson, B. R.; Kreutz, K. J.; Mayewski, P. A.; Bertler, N. A. N.; Sneed, S.; Handley, M.; Introne, D.</t>
  </si>
  <si>
    <t>A coastal transect of McMurdo Dry Valleys (Antarctica) snow and firn: marine and terrestrial influences on glaciochemistry</t>
  </si>
  <si>
    <t>SEA-ICE EXTENT; METHANESULFONIC-ACID; WRIGHT VALLEY; TRACE-METALS; SPATIAL VARIABILITY; METHANE SULFONATE; ACCUMULATION RATE; ROSS EMBAYMENT; LAW DOME; CLIMATE</t>
  </si>
  <si>
    <t>Samples of snow and firn from accumulation zones on Clark, Commonwealth, Blue and Victoria Upper Glaciers in the McMurdo Dry Valleys (similar to 77-78 degrees S, 161-164 degrees E), Antarctica, are evaluated chemically and isotopically to determine the relative importance of local (site-specific) factors vs regional-scale influences in defining glaciochemistry. Spatial variation in snow and firn chemistry confirms documented trends within individual valleys regarding major-ion deposition relative to elevation and to distance from the coast. Sodium and methylsulfonate (MS-), for example, follow a decreasing gradient with distance from the coast along the axis of Victoria Valley (350-119 mu gL(-1) for Na+; 33-14 mu gL(-1) for MS-); a similar pattern exists between Commonwealth and Newall Glaciers in the Asgaard Range. When comparing major-ion concentrations (e.g. Na-+,Na- MS-, Ca2+) or trace metals (e.g. Al, Fe) among different valleys, however, site-specific exposures to marine and local terrestrial chemical sources play a dominant role. Because chemical signals at all sites respond to particulates with varying mixtures of marine and terrestrial sources, each of these influences on site glaciochemistry must be considered when drawing temporal climate inferences on regional scales.</t>
  </si>
  <si>
    <t>[Williamson, B. R.; Kreutz, K. J.; Mayewski, P. A.; Bertler, N. A. N.; Sneed, S.; Handley, M.; Introne, D.] Univ Maine, Dept Earth Sci, Orono, ME 04473 USA; [Williamson, B. R.; Kreutz, K. J.; Mayewski, P. A.; Bertler, N. A. N.; Sneed, S.; Handley, M.; Introne, D.] Univ Maine, Climate Change Inst, Orono, ME 04473 USA; [Bertler, N. A. N.] Victoria Univ Wellington, Antarctic Res Ctr, Wellington, New Zealand</t>
  </si>
  <si>
    <t>University of Maine System; University of Maine Orono; University of Maine System; University of Maine Orono; Victoria University Wellington</t>
  </si>
  <si>
    <t>Williamson, BR (corresponding author), Univ Maine, Dept Earth Sci, Sawyer Environm Res Bldg, Orono, ME 04473 USA.</t>
  </si>
  <si>
    <t>bruce.williamson@maine.edu</t>
  </si>
  <si>
    <t>Mayewski, Paul Andrew/HRD-6969-2023; Bertler, Nancy A N/F-3967-2011</t>
  </si>
  <si>
    <t>Bertler, Nancy/0000-0001-6028-4891</t>
  </si>
  <si>
    <t>10.3189/002214307784409225</t>
  </si>
  <si>
    <t>WOS:000252626400018</t>
  </si>
  <si>
    <t>Holland, PR; Feltham, DL; Daly, SF</t>
  </si>
  <si>
    <t>Holland, Paul R.; Feltham, Daniel L.; Daly, Steven F.</t>
  </si>
  <si>
    <t>On the Nusselt number for frazil ice growth - a correction to Frazil evolution in channels by Lars Hammar and Hung-Tao Shen</t>
  </si>
  <si>
    <t>JOURNAL OF HYDRAULIC RESEARCH</t>
  </si>
  <si>
    <t>frazil ice; Nusselt number; heat transfer; turbulence; boundary layer</t>
  </si>
  <si>
    <t>SUPERCOOLING PROCESS; DYNAMICS; SHELF; SIMULATION; CRYSTALS; MODEL; SEA</t>
  </si>
  <si>
    <t>The growth (melt) rate of frazil ice is governed by heat transfer away from (towards) the ice crystal, which can be represented by the Nusselt number. We discuss choices for the Nusselt number and turbulent length scale appropriate for frazil ice and note an inaccuracy in the study Frazil evolution in channels by Lars Hammar and Hung-Tao Shen, which has also led to potentially significant errors in several other papers. We correct this error and suggest an appropriate strategy for determining the Nusselt number applicable to frazil ice growth and melting.</t>
  </si>
  <si>
    <t>British Antarctic Survey, Cambridge CB3 0ET, England; UCL, Ctr Polar Observ &amp; Modelling, London WC1E 6BT, England; USA, Engineer Res &amp; Dev Ctr, Cold Reg Res &amp; Engn Lab, Hanover, NH 03755 USA</t>
  </si>
  <si>
    <t>UK Research &amp; Innovation (UKRI); Natural Environment Research Council (NERC); NERC British Antarctic Survey; University of London; University College London; United States Department of Defense; United States Army; U.S. Army Corps of Engineers; U.S. Army Engineer Research &amp; Development Center (ERDC); Cold Regions Research &amp; Engineering Laboratory (CRREL); Geospatial Research Laboratory (GRL)</t>
  </si>
  <si>
    <t>Holland, PR (corresponding author), British Antarctic Survey, High Cross,Madingley Rd, Cambridge CB3 0ET, England.</t>
  </si>
  <si>
    <t>p.holland@bas.ac.uk</t>
  </si>
  <si>
    <t>Holland, Paul R/G-2796-2012</t>
  </si>
  <si>
    <t>Feltham, Daniel/0000-0003-2289-014X</t>
  </si>
  <si>
    <t>NERC [cpom10001] Funding Source: UKRI; Natural Environment Research Council [cpom10001] Funding Source: researchfish</t>
  </si>
  <si>
    <t>0022-1686</t>
  </si>
  <si>
    <t>J HYDRAUL RES</t>
  </si>
  <si>
    <t>J. Hydraul. Res.</t>
  </si>
  <si>
    <t>10.1080/00221686.2007.9521775</t>
  </si>
  <si>
    <t>Engineering, Civil; Water Resources</t>
  </si>
  <si>
    <t>Engineering; Water Resources</t>
  </si>
  <si>
    <t>186UV</t>
  </si>
  <si>
    <t>WOS:000247804800012</t>
  </si>
  <si>
    <t>Gibson, JAE; Cromer, L; Agius, JT; McInnes, SJ; Marley, NJ</t>
  </si>
  <si>
    <t>Gibson, John A. E.; Cromer, Louise; Agius, Janelle T.; McInnes, Sandra J.; Marley, Nigel J.</t>
  </si>
  <si>
    <t>Tardigrade eggs and exuviae in Antarctic lake sediments: insights into Holocene dynamics and origins of the fauna</t>
  </si>
  <si>
    <t>JOURNAL OF LIMNOLOGY</t>
  </si>
  <si>
    <t>10th International Symposium on Tardigrada</t>
  </si>
  <si>
    <t>JUN 18-23, 2006</t>
  </si>
  <si>
    <t>colonisation; population dynamics; ecological change; Macrobiotus; Minibiotus; Acutuncus</t>
  </si>
  <si>
    <t>EAST ANTARCTICA; LARSEMANN HILLS; TERRESTRIAL TARDIGRADA; AMERY OASIS; BIOGEOGRAPHY; PLEISTOCENE</t>
  </si>
  <si>
    <t>The preservation of tardigrade eggs and exuviae in Antarctic lake sediments provided an opportunity to assess post-glacial colonisation and Holocene tardigrade dynamics on the southern continent. Tardigrade eggs were recoveredftom five lakes, two from the maritime Antarctic and three from continental Antarctica. Eggs were identified from the following species: Dactylobiotus cf. ambiguus, Macrobiotus furciger, Macrobiotus blocki, Minibiotus weinerorum and Acutuncus antarcticus. Other, unornamented eggs were also observed. The preservation of some of these eggs in exuviae allowed identification to at least genus. Significant variations were observed in egg abundance within the sediment of each lake, and in one lake a species (Dactylobiotus cf. ambiguus) became locally extinct, probably as the result of penguin-associated eutrophication. Tardigrades generally did not become abundant for a considerable period after the lakes' formation. The presence of an in-part endemic fauna is consistent with slow colonisation from Antarctic sources rather than wind transport from extra-continental sites. Tardigrade eggs appear to be abundant in high-latitude lake sediments, and greater use could be made of these records when evaluating tardigrade dynamics during the Holocene.</t>
  </si>
  <si>
    <t>Univ Tasmania, Inst Antarctic &amp; So Ocean Studies, Hobart, Tas 7001, Australia; Univ Tasmania, Sch Zool, Hobart, Tas 7001, Australia; British Antarctic Survey, Cambridge CB3 0ET, England; Univ Plymouth, Marine Biol &amp; Ecol Res Grp, Plymouth PL4 8AA, Devon, England</t>
  </si>
  <si>
    <t>University of Tasmania; University of Tasmania; UK Research &amp; Innovation (UKRI); Natural Environment Research Council (NERC); NERC British Antarctic Survey; University of Plymouth</t>
  </si>
  <si>
    <t>Gibson, JAE (corresponding author), Univ Tasmania, Inst Antarctic &amp; So Ocean Studies, Private Bag 77, Hobart, Tas 7001, Australia.</t>
  </si>
  <si>
    <t>John.Gibson@utas.edu.au</t>
  </si>
  <si>
    <t>Newman, Louise/Q-8592-2019; McInnes, Sandra/AAN-4773-2020; Marley, Nigel/M-5703-2017</t>
  </si>
  <si>
    <t>Newman, Louise/0000-0001-9523-8713; McInnes, Sandra/0000-0003-3403-9379; Marley, Nigel/0000-0002-3291-5534</t>
  </si>
  <si>
    <t>PAGEPRESS PUBL</t>
  </si>
  <si>
    <t>PAVIA</t>
  </si>
  <si>
    <t>MEDITGROUP, VIA G BELLI, 4, PAVIA, 27100, ITALY</t>
  </si>
  <si>
    <t>1129-5767</t>
  </si>
  <si>
    <t>1723-8633</t>
  </si>
  <si>
    <t>J LIMNOL</t>
  </si>
  <si>
    <t>J. Limnol.</t>
  </si>
  <si>
    <t>10.4081/jlimnol.2007.s1.65</t>
  </si>
  <si>
    <t>Limnology</t>
  </si>
  <si>
    <t>221LO</t>
  </si>
  <si>
    <t>WOS:000250229400013</t>
  </si>
  <si>
    <t>McInnes, SJ; Pugh, PJA</t>
  </si>
  <si>
    <t>McInnes, Sandra J.; Pugh, Philip J. A.</t>
  </si>
  <si>
    <t>An attempt to revisit the global biogeography of limno-terrestrial Tardigrada</t>
  </si>
  <si>
    <t>biogeography; continental drift; dispersal; Gondwana; Laurasia; Tardigrada</t>
  </si>
  <si>
    <t>HUFELANDI GROUP TARDIGRADA; S-STR; MACROBIOTUS; ORIGIN; ACARI; GENUS</t>
  </si>
  <si>
    <t>The major increase in distribution records of limno-terrestrial tardigrades over the last ten years has enabled us to reassess the global biogeography of the Tardigrada using cluster analysis, principal components analysis andparsimony analysis of endemism (PAE). Although the new clustergram topology shows a close correlation with those we originally presented in 1998, the PAE outputs warrant a radical reinterpretation of the results as they imply that the Laurasian fauna is derived and the Gondwanan groups basal. The distribution of endemic tardigrade genera and fiamilies provides some support for this argument though the findings should be viewed with some caution as PAE has its detractors and has not been previously applied on a 'global' scale.</t>
  </si>
  <si>
    <t>British Antarctic Survey, NERC, Cambridge CB3 0ET, England; Anglia Ruskin Univ, Dept Life Sci, Cambridge CB1 1PT, England</t>
  </si>
  <si>
    <t>UK Research &amp; Innovation (UKRI); Natural Environment Research Council (NERC); NERC British Antarctic Survey; Anglia Ruskin University</t>
  </si>
  <si>
    <t>McInnes, SJ (corresponding author), British Antarctic Survey, NERC, High Cross,Madingley Rd, Cambridge CB3 0ET, England.</t>
  </si>
  <si>
    <t>s.mcinnes@bas.ac.uk</t>
  </si>
  <si>
    <t>McInnes, Sandra/AAN-4773-2020</t>
  </si>
  <si>
    <t>McInnes, Sandra/0000-0003-3403-9379</t>
  </si>
  <si>
    <t>10.4081/jlimnol.2007.s1.90</t>
  </si>
  <si>
    <t>WOS:000250229400017</t>
  </si>
  <si>
    <t>Lenn, YD; Chereskin, TK; Sprintall, J; Firing, E</t>
  </si>
  <si>
    <t>Lenn, Y. -D.; Chereskin, T. K.; Sprintall, J.; Firing, E.</t>
  </si>
  <si>
    <t>Mean jest, mesoscale variability and eddy momentum fluxes in the surface layer of the Antarctic Circumpolar Current in Drake Passage</t>
  </si>
  <si>
    <t>JOURNAL OF MARINE RESEARCH</t>
  </si>
  <si>
    <t>SOUTHERN-OCEAN FRONTS; FLOAT OBSERVATIONS; POLAR FRONT; HEAT-FLUX; TRANSPORT; GENERATION; TOPEX/POSEIDON; TEMPERATURE; ENERGETICS; ERA-40</t>
  </si>
  <si>
    <t>High-resolution Acoustic Doppler Current Profiler (ADCP) observations of surface-layer velocities in Drake Passage, comprising 128 sections over a period of 5 years, are used to study the surface-layer circulation of the Antarctic Circumpolar Current (ACC). These observations resolve details of the mean flow including the topographic control of the mean Subantarctic Front (SAF) and the multiple filaments of the Polar Front (PF) and Southern ACC Front (SACCF) that converge into single mean jets as the ACC flows through Drake Passage. Subsurface definitions of the SAF and PF applied to expendable bathythermograph temperatures generally coincide with mean jets, while the SACCF is better defined in velocity than temperature. The mean transport in the top 250-m-deep surface layer, estimated from the cross-track transport along three repeat tracks, is 27.8 +/- 1 Sv. Eddy momentum fluxes were estimated by ensemble averaging Reynolds stresses relative to gridded Eulerian mean currents. Eddy kinetic energy (EKE) is surface intensified in the mixed layer because of inertial currents and decreases poleward in Drake Passage, ranging from similar to 800 cm(2) s(-2) to similar to 200 cm(2) s(-2). ADCP EKE estimates are everywhere significantly higher than altimetric EKE estimates, although the pattern of poleward decrease is the same. Horizontal-wavenumber spectra of velocity fluctuations peak at wavelengths in the 250-330 km range and are significantly anisotropic. Along-passage fluctuations dominate at wavelengths less than 250 km; cross-passage fluctuations dominate at wavelengths greater than 250 km. Mesoscale eddies dominate the variance in northern Drake Passage. Inertial variability is constant with latitude and together with baroclinic tides accounts for some but not all of the discrepancy between the ADCP surface-layer EKE and altimetry-inferred EKE.</t>
  </si>
  <si>
    <t>Univ Calif San Diego, Scripps Inst Oceanog, La Jolla, CA 92093 USA; Univ Hawaii Manoa, Dept Oceanog, Sch Ocean &amp; Earth Sci &amp; Technol, Honolulu, HI 96822 USA</t>
  </si>
  <si>
    <t>University of California System; University of California San Diego; Scripps Institution of Oceanography; University of Hawaii System; University of Hawaii Manoa</t>
  </si>
  <si>
    <t>Lenn, YD (corresponding author), Univ Calif San Diego, Scripps Inst Oceanog, La Jolla, CA 92093 USA.</t>
  </si>
  <si>
    <t>ylenn@ucsd.edu</t>
  </si>
  <si>
    <t>Chereskin, Teresa/0000-0003-1214-0978; Lenn, Yueng-Djern/0000-0001-6031-523X; Firing, Eric/0000-0002-7745-6888</t>
  </si>
  <si>
    <t>SEARS FOUNDATION MARINE RESEARCH</t>
  </si>
  <si>
    <t>NEW HAVEN</t>
  </si>
  <si>
    <t>YALE UNIV, KLINE GEOLOGY LAB, 210 WHITNEY AVENUE, NEW HAVEN, CT 06520-8109 USA</t>
  </si>
  <si>
    <t>0022-2402</t>
  </si>
  <si>
    <t>1543-9542</t>
  </si>
  <si>
    <t>J MAR RES</t>
  </si>
  <si>
    <t>J. Mar. Res.</t>
  </si>
  <si>
    <t>10.1357/002224007780388694</t>
  </si>
  <si>
    <t>154PS</t>
  </si>
  <si>
    <t>WOS:000245520300002</t>
  </si>
  <si>
    <t>Radko, T</t>
  </si>
  <si>
    <t>Radko, Timour</t>
  </si>
  <si>
    <t>A mechanism for establishment and maintenance of the meridional overturning in the upper ocean</t>
  </si>
  <si>
    <t>ANTARCTIC CIRCUMPOLAR CURRENT; THERMOHALINE CIRCULATION; DRAKE PASSAGE; SOUTHERN-OCEAN; EDDY TRANSFER; DEACON CELL; MODELS; THERMOCLINE; STRATIFICATION; TRANSPORT</t>
  </si>
  <si>
    <t>A two-dimensional analytical residual-mean model of the meridional overturning in the upper ocean is presented which illustrates dynamics of the interaction between the Northern and Southern hemispheres. The theory is based on the semi-adiabatic approximation in which all diabatic processes are confined to the upper mixed layer. The overturning circulation is driven directly by the wind forcing which, in our model, is affected by the sea-surface temperature distribution. The surface boundary conditions are symmetric with respect to the equator, and therefore one of the steady state solutions represents a symmetric flow characterized by the absence of the inter-hemispheric buoyancy fluxes. However, linear stability analysis, which takes into account both mechanical and thermodynamic forcing at the sea surface, indicates that the symmetric configuration such as this is unstable. The instability results in transition to the asymmetric regime with finite cross-equatorial exchange flows and heat transfer. Weakly nonlinear instability theory makes it possible to estimate the equilibrium fluxes in the new asymmetric steady states; for the oceanographically relevant range of parameters our model predicts the meridional overturning of about 10 Sv. While earlier studies considered the role of salt advection in spontaneous symmetry breaking, our study relies on a positive feedback between atmospheric winds and the oceanic meridional circulation.</t>
  </si>
  <si>
    <t>USN, Postgrad Sch, Dept Oceanog, Monterey, CA 93943 USA</t>
  </si>
  <si>
    <t>United States Department of Defense; United States Navy; Naval Postgraduate School</t>
  </si>
  <si>
    <t>Radko, T (corresponding author), USN, Postgrad Sch, Dept Oceanog, Monterey, CA 93943 USA.</t>
  </si>
  <si>
    <t>tradko@nps.edu</t>
  </si>
  <si>
    <t>10.1357/002224007780388748</t>
  </si>
  <si>
    <t>WOS:000245520300004</t>
  </si>
  <si>
    <t>Thorpe, S. A.</t>
  </si>
  <si>
    <t>Dissipation in hydraulic transitions in flows through abyssal channels</t>
  </si>
  <si>
    <t>BOTTOM WATER; ROMANCHE; STRAIT</t>
  </si>
  <si>
    <t>There is growing evidence from observations that mixing occurs in hydraulic jumps, or flow transitions, downstream of sills within channels connecting deep ocean basins or within submarine canyons on the flanks of mid-ocean ridges. Models with continuous profiles of velocity and density upstream and downstream of a transition, but conforming to continuity conditions, are devised to represent the mixing that occurs in a hydraulic jump in a stratified shear flow of finite depth moving over a horizontal boundary in a deep fluid. These are used to assess the conditions in which transitions may occur and to provide an estimate of the loss in the flux of energy carried by the flow. An increase in the thickness of the stratified flow layer is necessary as water passes through a transition. The rate of loss of energy flux per unit channel width in a transition is typically of order 6 rho h(g beta h)(3/2), where h is a measure of the thickness of the flow before transition, g the acceleration due to gravity and beta = Delta rho/rho (&lt; &lt; 1), where Delta rho is half the difference in density between that in the flow approaching the-transition and-that in the overlying fluid, and p is the mean density. The mean rate of loss of energy in a transition in the flow of Antarctic Bottom Water over just one of the 6-8 sills in the Romanche Fracture Zone is estimated to be of order 60 MW (6 X 10(7) W).</t>
  </si>
  <si>
    <t>Univ Bangor, Sch Ocean Sci, Menai Bridge, Anglesey, Wales</t>
  </si>
  <si>
    <t>Bangor University</t>
  </si>
  <si>
    <t>oss413@sos.bangor.ac.uk</t>
  </si>
  <si>
    <t>10.1357/002224007780388711</t>
  </si>
  <si>
    <t>WOS:000245520300006</t>
  </si>
  <si>
    <t>Markhaseva, EL; Schulz, K</t>
  </si>
  <si>
    <t>Markhaseva, Elena L.; Schulz, Knud</t>
  </si>
  <si>
    <t>New species of Brodskius, Rythabis, and Omorius (Crustacea: Calanoida) from deep Antarctic waters</t>
  </si>
  <si>
    <t>JOURNAL OF NATURAL HISTORY</t>
  </si>
  <si>
    <t>Benthopelagic; Brodskius; Calanoida; Copepoda; Omorius; Rythabis; Southern Ocean</t>
  </si>
  <si>
    <t>WEDDELL SEA; COPEPODS; GENUS; OCEAN; PACIFIC</t>
  </si>
  <si>
    <t>Three new species of rare benthopelagic clausocalanoidean genera with sensory setae on the maxilla are described from female specimens collected during the German Antarctic expeditions ANDEEP I-III in 2002 and 2005, mainly from abyssal depths close to the sea bed. Brodskius abyssalis sp. nov. differs from congeners by the lack of rostral filaments, two setae on the second segment of antenna exopod, thread- like tips of maxillary worm- like sensory setae, and the length of spines of P5 exopod. Rythabis assymmetrica sp. nov. is distinguished from other species in the genus by asymmetrical posterior corners of the prosome, the shape of spermathecae, and setal numbers on the maxillulary distal basal endite plus endopod. Omorius curvispinus sp. nov. is characterized by strongly curved setae of the maxillipedal syncoxa, a comparatively long seta on the basis of antenna, a slightly swollen genital double- somite, and the shape of spermathecae. The genera Brodskius, Omorius, and Rythabis are recorded for the first time from the southern hemisphere.</t>
  </si>
  <si>
    <t>Russian Acad Sci, Inst Zool, St Petersburg 199034, Russia; DZMB Senckenberg, Biozentrum Grindel &amp; Zool Museum, Hamburg, Germany</t>
  </si>
  <si>
    <t>Russian Academy of Sciences; Zoological Institute of the Russian Academy of Sciences; University of Hamburg</t>
  </si>
  <si>
    <t>Markhaseva, EL (corresponding author), Russian Acad Sci, Inst Zool, Universitetskaya Nab 1, St Petersburg 199034, Russia.</t>
  </si>
  <si>
    <t>copepoda@zin.ru</t>
  </si>
  <si>
    <t>Markhaseva, Elena L/R-1832-2017</t>
  </si>
  <si>
    <t>0022-2933</t>
  </si>
  <si>
    <t>1464-5262</t>
  </si>
  <si>
    <t>J NAT HIST</t>
  </si>
  <si>
    <t>J. Nat. Hist.</t>
  </si>
  <si>
    <t>13-16</t>
  </si>
  <si>
    <t>10.1080/00222930701297772</t>
  </si>
  <si>
    <t>Biodiversity Conservation; Ecology; Zoology</t>
  </si>
  <si>
    <t>Biodiversity &amp; Conservation; Environmental Sciences &amp; Ecology; Zoology</t>
  </si>
  <si>
    <t>175BB</t>
  </si>
  <si>
    <t>WOS:000246985900001</t>
  </si>
  <si>
    <t>Dartnall, HJG; Hollwedel, W</t>
  </si>
  <si>
    <t>Dartnall, Herbert J. G.; Hollwedel, Werner</t>
  </si>
  <si>
    <t>A limnological reconnaissance of the Falkland Islands; with particular reference to the waterfleas (Arthropoda: Anomopoda)</t>
  </si>
  <si>
    <t>Antarctic; crustacea; Falkland islands; freshwater fauna; Rotifera; Scotia arc</t>
  </si>
  <si>
    <t>SOUTH GEORGIA; SIGNY ISLAND; CRUSTACEA; GENUS; LAKES; REDESCRIPTION; BIODIVERSITY; EKMAN</t>
  </si>
  <si>
    <t>Forty-eight freshwater bodies on the Falkland Islands, including 33 lakes and pools, and 12 rivers and streams, were sampled for freshwater invertebrates. This study yielded 129 species of invertebrates (79 Rotifera, 34 Arthropoda, six Platyhelminthes, three Gastrotricha, two Nematoda, two Annelida, two Mollusca, and one Tardigrada) plus two fish species bringing the known Falkland Islands freshwater fauna to more than 170 species. While the presence of fishes, molluscs, amphipods, caddis larvae, waterboatmen, parasitic cercaria, and truly planktonic rotifers make the Falkland Islands fauna markedly richer than any subantarctic, or maritime Antarctic island, it is nevertheless sparse when compared with other temperate and tropical locations.</t>
  </si>
  <si>
    <t>Macquarie Univ, Dept Biol Sci, Sydney, NSW 2109, Australia</t>
  </si>
  <si>
    <t>Macquarie University</t>
  </si>
  <si>
    <t>Dartnall, HJG (corresponding author), Macquarie Univ, Dept Biol Sci, Sydney, NSW 2109, Australia.</t>
  </si>
  <si>
    <t>herbdartnall@pip.com.au</t>
  </si>
  <si>
    <t>21-24</t>
  </si>
  <si>
    <t>10.1080/00222930701401010</t>
  </si>
  <si>
    <t>193TC</t>
  </si>
  <si>
    <t>WOS:000248296500002</t>
  </si>
  <si>
    <t>Primo, C; Vazquez, E</t>
  </si>
  <si>
    <t>Primo, Carmen; Vazquez, Elsa</t>
  </si>
  <si>
    <t>Ascidians collected during the Spanish antarctic expedition CIEMAR 99/00 in the Bransfield and Gerlache straits</t>
  </si>
  <si>
    <t>Ascidiacea; Bransfield strait; Gerlache strait; Taxonomy</t>
  </si>
  <si>
    <t>POTTER COVE; SOUTH TEMPERATE; INDIAN-OCEAN; SCOTIA ARC; TUNICATA; ISLAND; NORTH</t>
  </si>
  <si>
    <t>During the Spanish expedition CIEMAR 99/00, on board the BIO-Hesperides, 30 species of ascidians (distributed in 13 genera and eight families) were collected using a rock dredge in the Bransfield and Gerlache straits. Most of them were already known, but one species, Tetrazona ciemari sp. nov., is new for science. Additional morphological data are provided for six species. Five are reported for only the second time and the known distributions of five species are extended.</t>
  </si>
  <si>
    <t>Univ Vigo, Fac Ciencias Mar, Dpto Ecoloxia &amp; Bioloxia Anim, Vigo 36310, Spain</t>
  </si>
  <si>
    <t>Universidade de Vigo</t>
  </si>
  <si>
    <t>Primo, C (corresponding author), Univ Vigo, Fac Ciencias Mar, Dpto Ecoloxia &amp; Bioloxia Anim, Vigo 36310, Spain.</t>
  </si>
  <si>
    <t>carprimo@uvigo.es</t>
  </si>
  <si>
    <t>Vázquez, Elsa/D-7082-2013; Primo, Carmen/F-5431-2015</t>
  </si>
  <si>
    <t>Vazquez, Elsa/0000-0003-0782-4734; Primo, Carmen/0000-0001-8619-1036</t>
  </si>
  <si>
    <t>29-32</t>
  </si>
  <si>
    <t>10.1080/00222930701500126</t>
  </si>
  <si>
    <t>222UA</t>
  </si>
  <si>
    <t>WOS:000250321600002</t>
  </si>
  <si>
    <t>Kotov, AA</t>
  </si>
  <si>
    <t>Kotov, Alexey A.</t>
  </si>
  <si>
    <t>Revision of the hirsuticornis-like species of Macrothrix Baird, 1843 (Cladocera: Anomopoda: Macrothricidae) from Subantarctic and temperate regions of the southern hemisphere</t>
  </si>
  <si>
    <t>Africa; Cladocera; macrothrix; morphology; South America; Subantarctic; systematics</t>
  </si>
  <si>
    <t>FUNCTIONAL-MORPHOLOGY; ADAPTIVE RADIATION; CRUSTACEA; REDESCRIPTION; CHYDORIDAE; ISLANDS; BRANCHIOPODA; DAPHNIA; ORIGINS; HISTORY</t>
  </si>
  <si>
    <t>The aim of this paper is to revise populations of Macrothrix cf. hirsuticornis (Cladocera: Anomopoda: Macrothricidae) from different regions of the southern hemisphere. It is demonstrated that M. hirsuticornis Norman and Brady, 1867 s. str. is absent there, and five related species occupy different Subantarctic islands and the southernmost portions of South America, and Africa. Macrothrix boergeni Studer, 1878 from the Kerguelen Archipelago is redescribed and a neotype is selected. All populations in the southernmost portion of continental South America, Tierra del Fuego, Falklands, South Georgia, South Orkney Islands, and on the Antarctic Peninsula belong to M. oviformis Ekman, 1900. All the taxa described from this region-M. ciliata Vavra, 1900, M. odontocephala Daday, 1902, M. propinqua Sars, 1909, and, probably, M. inflata Daday, 1902-are junior synonyms of M. oviformis. Two new species are established: M. sarsi sp. nov. from the Cape region of South Africa and M. ruehei sp. nov. from Crozet, Marion islands, and (I) over cap le Amsterdam. Macrothrix cf. flagellata Smirnov and Timms, 1983, previously known only from Tasmania, is found on Macquarie Island too. Differences between species from the southern hemisphere and Palaearctic M. hirsuticornis are summarized. It is demonstrated that characters of the general body shape (i.e. presence of a hood or a tooth on posterior head border) have a limited value for the systematics of Macrothrix. In contrast, some fine details, mostly missed by previous authors, are valuable for species discrimination. The present study increases the number of species recorded from the Antarctic-Subantarctic region. Probably, the current pattern of Macrothrix distribution results from a disruption of a pan-continental (early Mesozoic?) species complex.</t>
  </si>
  <si>
    <t>AN Severtsov Inst Ecol &amp; Evolut, Moscow 119071, Russia</t>
  </si>
  <si>
    <t>Russian Academy of Sciences; Saratov Scientific Center of the Russian Academy of Sciences; Severtsov Institute of Ecology &amp; Evolution</t>
  </si>
  <si>
    <t>Kotov, AA (corresponding author), AN Severtsov Inst Ecol &amp; Evolut, Leninsky Prospect 33, Moscow 119071, Russia.</t>
  </si>
  <si>
    <t>alexey_kotov@sevin.ru</t>
  </si>
  <si>
    <t>Kotov, Alexey A./B-1549-2010</t>
  </si>
  <si>
    <t>Kotov, Alexey A./0000-0002-8863-6438</t>
  </si>
  <si>
    <t>41-44</t>
  </si>
  <si>
    <t>10.1080/00222930701689937</t>
  </si>
  <si>
    <t>247CB</t>
  </si>
  <si>
    <t>WOS:000252053600003</t>
  </si>
  <si>
    <t>Chase, PN</t>
  </si>
  <si>
    <t>Chase, Philip N.</t>
  </si>
  <si>
    <t>Shackleton's way: Leadership lessons from the great Antarctic explorer</t>
  </si>
  <si>
    <t>JOURNAL OF ORGANIZATIONAL BEHAVIOR MANAGEMENT</t>
  </si>
  <si>
    <t>Book Review</t>
  </si>
  <si>
    <t>W Virginia Univ, Dept Psychol, Morgantown, WV 26506 USA</t>
  </si>
  <si>
    <t>West Virginia University</t>
  </si>
  <si>
    <t>Chase, PN (corresponding author), W Virginia Univ, Dept Psychol, Morgantown, WV 26506 USA.</t>
  </si>
  <si>
    <t>ROUTLEDGE JOURNALS, TAYLOR &amp; FRANCIS LTD</t>
  </si>
  <si>
    <t>2-4 PARK SQUARE, MILTON PARK, ABINGDON OX14 4RN, OXON, ENGLAND</t>
  </si>
  <si>
    <t>0160-8061</t>
  </si>
  <si>
    <t>1540-8604</t>
  </si>
  <si>
    <t>J ORGAN BEHAV MANAGE</t>
  </si>
  <si>
    <t>J. Organ. Behav. Manage.</t>
  </si>
  <si>
    <t>10.1300/J075v27n03_05</t>
  </si>
  <si>
    <t>Psychology, Applied; Management</t>
  </si>
  <si>
    <t>Social Science Citation Index (SSCI)</t>
  </si>
  <si>
    <t>Psychology; Business &amp; Economics</t>
  </si>
  <si>
    <t>231RZ</t>
  </si>
  <si>
    <t>WOS:000250968000005</t>
  </si>
  <si>
    <t>Iudicone, D; Rodgers, KB; Schopp, R; Madec, G</t>
  </si>
  <si>
    <t>Iudicone, Daniele; Rodgers, Keith B.; Schopp, Richard; Madec, Gurvan</t>
  </si>
  <si>
    <t>An exchange window for the injection of Antarctic Intermediate Water into the South Pacific</t>
  </si>
  <si>
    <t>JOURNAL OF PHYSICAL OCEANOGRAPHY</t>
  </si>
  <si>
    <t>TOTAL GEOSTROPHIC CIRCULATION; PLANETARY WAVE-PROPAGATION; VARYING MEAN FLOW; CIRCUMPOLAR CURRENT; INDONESIAN THROUGHFLOW; MIDDEPTH CIRCULATION; BOTTOM TOPOGRAPHY; DEPTH CIRCULATION; OCEAN; VARIABILITY</t>
  </si>
  <si>
    <t>Antarctic Intermediate Water (AAIW) occupies the intermediate horizon of most of the world oceans. Formed in the Southern Ocean, it is characterized by a relative salinity minimum. With a new, denser in situ National Oceanographic Data Center dataset, the authors have reanalyzed the export characteristics of AAIW from the Southern Ocean into the South Pacific Ocean. These new data show that part of the AAIW is exported from the subpolar frontal region by the large-scale circulation through an exchange window of 10 degrees width situated east of 90 degrees W in the southeast corner of the Pacific basin. This suggests the origin of this water to be in the Antarctic Circumpolar Current. A set of numerical modeling experiments has been used to reproduce these observed features and to demonstrate that the dynamics of the exchange window is controlled by the basin-scale meridional pressure gradient. The exchange of AAIW between the Southern and Pacific Oceans must therefore be understood in the context of the large basin-scale dynamical balance rather than simply local effects.</t>
  </si>
  <si>
    <t>Stn Zool A Dohrn, I-80121 Naples, Italy; Inst Pierre Simon Laplace, CNRS, IRD, IPMC MNHN,UMR 7159,Lab Oceanog &amp; Climat Expt &amp; Ap, Paris, France; UBO, IFREMER, CNRS, Labp Phys Oceans, Plouzane, France</t>
  </si>
  <si>
    <t>Stazione Zoologica Anton Dohrn di Napoli; Centre National de la Recherche Scientifique (CNRS); CNRS - National Institute for Earth Sciences &amp; Astronomy (INSU); Universite Paris Cite; Universite Paris Saclay; Museum National d'Histoire Naturelle (MNHN); Sorbonne Universite; Institut de Recherche pour le Developpement (IRD); Centre National de la Recherche Scientifique (CNRS); Ifremer; Institut de Recherche pour le Developpement (IRD); Universite de Bretagne Occidentale; Institut Universitaire Europeen de la Mer (IUEM)</t>
  </si>
  <si>
    <t>Iudicone, D (corresponding author), Stn Zool A Dohrn, Villa Comunale 1, I-80121 Naples, Italy.</t>
  </si>
  <si>
    <t>iudicone@szn.it</t>
  </si>
  <si>
    <t>Rodgers, Keith/AAL-4329-2021; madec, gurvan/E-7825-2010; Iudicone, Daniele/B-9008-2008</t>
  </si>
  <si>
    <t>madec, gurvan/0000-0002-6447-4198; Iudicone, Daniele/0000-0002-7473-394X</t>
  </si>
  <si>
    <t>AMER METEOROLOGICAL SOC</t>
  </si>
  <si>
    <t>BOSTON</t>
  </si>
  <si>
    <t>45 BEACON ST, BOSTON, MA 02108-3693, UNITED STATES</t>
  </si>
  <si>
    <t>0022-3670</t>
  </si>
  <si>
    <t>1520-0485</t>
  </si>
  <si>
    <t>J PHYS OCEANOGR</t>
  </si>
  <si>
    <t>J. Phys. Oceanogr.</t>
  </si>
  <si>
    <t>10.1175/JPO2985.1</t>
  </si>
  <si>
    <t>130ZA</t>
  </si>
  <si>
    <t>WOS:000243836300003</t>
  </si>
  <si>
    <t>Ou, HW</t>
  </si>
  <si>
    <t>Ou, Hsien-Wang</t>
  </si>
  <si>
    <t>Watermass properties of the Antarctic Slope Front: A simple model</t>
  </si>
  <si>
    <t>BOTTOM WATER; SEA-ICE; DEEP-WATER; OCEAN MODEL; CIRCULATION</t>
  </si>
  <si>
    <t>In the Antarctic, dense shelf water is formed in coastal polynyas and is differentiated from the fresher surface water by the wind-induced ice motion that displaces offshore the ice melt from production zones. Where the shelf water discharges into the deep ocean, the Antarctic Slope Front (ASF) is V shaped, separating the shelf and surface waters (referred to as frontal waters) from the Circumpolar Deep Water (CDW). To elucidate basic constraints on frontal properties, a minimal model of homogeneous water masses forced by offshore wind and freshwater input in a perpetual winter is considered. With the surface water stirred by-and hence aligned with-the ice cover, there is little leakage of ice or meltwater from the frontal system, so ice production and melt merely redistribute heat and salt between frontal waters. As such, the heat loss to the atmosphere needs to be supplied by entraining CDW, which then necessitates the shelf water discharge on account of the mass balance. Because of the freshwater input, the discharged shelf water may not be saltier than the CDW, which thus may descend the slope to form bottom water only because of its coldness. With both frontal waters cooled to the freezing point, dominant balances are formulated to determine their salinity and exchange rate with the ambient CDW. Although extremely crude, the model derivations are favorably compared with observations, which thus may provide physically based parameterizations for the bottom-water formation that can be incorporated into global models.</t>
  </si>
  <si>
    <t>Columbia Univ, Lamont Doherty Earth Observ, Dic Ocean &amp; Climate Phys, Palisades, NY 10964 USA</t>
  </si>
  <si>
    <t>Columbia University</t>
  </si>
  <si>
    <t>Ou, HW (corresponding author), Columbia Univ, Lamont Doherty Earth Observ, Dic Ocean &amp; Climate Phys, 61 Route 9W, Palisades, NY 10964 USA.</t>
  </si>
  <si>
    <t>dou@ldeo.columbia.edu</t>
  </si>
  <si>
    <t>10.1175/JPO2981.1</t>
  </si>
  <si>
    <t>WOS:000243836300004</t>
  </si>
  <si>
    <t>Hayes, DR; Jenkins, A; McPhail, S</t>
  </si>
  <si>
    <t>Hayes, Daniel R.; Jenkins, Adrian; McPhail, Stephen</t>
  </si>
  <si>
    <t>Autonomous underwater vehicle measurements of surface wave decay and directional spectra in the marginal sea ice zone</t>
  </si>
  <si>
    <t>OCEAN WAVES; PROPAGATION; ATTENUATION</t>
  </si>
  <si>
    <t>In March 2003 several autonomous underwater vehicle (AUV) missions were carried out under sea ice in the western Bellingshausen Sea. Data from the upward-looking acoustic Doppler current profiler (ADCP) on the Autosub AUV indicate a strongly oscillating horizontal velocity of the ice due to ocean swell. Swell period, height, direction, and directional spread have been computed every 800 m from the ice edge to 10 km inward for three missions. Exponential, period-dependent attenuation of waves propagating through sea ice was observed. Mean period increased with distance from the ice edge. The wave field refracted during propagation. The directional wave spread does not seem to relate to distance from the ice edge. although higher frequencies tended to be more spread. If suitably deployed, an ordinary ADCP may be used with this technique to study both scalar and directional properties of waves in open or ice-covered water.</t>
  </si>
  <si>
    <t>British Antarctic Survey, NERC, Cambridge CB3 0ET, England; NERC, Southampton, Hants, England; Univ Southampton, Natl Oceanog Ctr, Southampton SO9 5NH, Hants, England</t>
  </si>
  <si>
    <t>UK Research &amp; Innovation (UKRI); Natural Environment Research Council (NERC); NERC British Antarctic Survey; UK Research &amp; Innovation (UKRI); Natural Environment Research Council (NERC); University of Southampton; NERC National Oceanography Centre</t>
  </si>
  <si>
    <t>Hayes, DR (corresponding author), Univ Cyprus, Oceanog Ctr, POB 20537, CY-1678 Nicosia, Cyprus.</t>
  </si>
  <si>
    <t>dhayes@ucy.ac.cy</t>
  </si>
  <si>
    <t>Jenkins, Adrian/IUN-2406-2023</t>
  </si>
  <si>
    <t>Jenkins, Adrian/0000-0002-9117-0616</t>
  </si>
  <si>
    <t>Natural Environment Research Council [NER/T/S/2000/00987, bas010014, soc010010] Funding Source: researchfish; NERC [soc010010, bas010014] Funding Source: UKRI</t>
  </si>
  <si>
    <t>45 BEACON ST, BOSTON, MA 02108-3693 USA</t>
  </si>
  <si>
    <t>10.1175/JPO2979.1</t>
  </si>
  <si>
    <t>WOS:000243836300006</t>
  </si>
  <si>
    <t>Alloway, BV; Lowe, DJ; Barrell, DJA; Newnham, RM; Almond, PC; Augustinus, PC; Bertler, NAN; Carter, L; Litchfield, NJ; McGlone, MS; Shulmeister, J; Vandergoes, MJ; Williams, PW</t>
  </si>
  <si>
    <t>Alloway, Brent V.; Lowe, David J.; Barrell, David J. A.; Newnham, Rewi M.; Almond, Peter C.; Augustinus, Paul C.; Bertler, Nancy A. N.; Carter, Lionel; Litchfield, Nicola J.; McGlone, Matt S.; Shulmeister, Jamie; Vandergoes, Marcus J.; Williams, Paul W.</t>
  </si>
  <si>
    <t>NZ INTIMATE Members</t>
  </si>
  <si>
    <t>Towards a climate event stratigraphy for New Zealand over the past 30 000 years (NZ-INTIMATE project)</t>
  </si>
  <si>
    <t>JOURNAL OF QUATERNARY SCIENCE</t>
  </si>
  <si>
    <t>last glacial coldest period; Last Glacial Maximum; Antarctic Cold Reversal; Termination I; palaeoclimate; vegetation; dating; tephra; tephrochronology; marine core; foraminifera; pollen; speleothems; glacial sequences; river terraces; loess; aeolian quartz; New Zealand</t>
  </si>
  <si>
    <t>LAST GLACIAL MAXIMUM; EASTERN NORTH-ISLAND; KA ORUANUI ERUPTION; SOUTHERN-HEMISPHERE; YOUNGER DRYAS; LATE PLEISTOCENE; RADIOCARBON-DATES; ICE-CORE; INTERGLACIAL TRANSITION; ENVIRONMENTAL-CHANGE</t>
  </si>
  <si>
    <t>It is widely recognised that the acquisition of high-resolution palaeoclimate records from southern mid-latitude sites is essential for establishing a coherent picture of inter-hem i spheric climate change and for better understanding of the role of Antarctic climate dynamics in the global climate system. New Zealand is considered to be a sensitive monitor of climate change because it is one of a few sizeable landmasses in the Southern Hemisphere westerly circulation zone, a critical transition zone between subtropical and Antarctic influences. New Zealand has mountainous axial ranges that amplify the climate signals and, consequently, the environmental gradients are highly sensitive to subtle changes in atmospheric and oceanic conditions. Since 1995, INTIMATE has, through a series of international workshops, sought ways to improve procedures for establishing the precise ages of climate events, and to correlate them with high precision, for the last 30000 calendar years. The NZ-INTIMATE project commenced in late 2003, and has involved virtually the entire New Zealand palaeoclimate community. Its aim is to develop an event stratigraphy for the New Zealand region over the past 30000 years, and to reconcile these events against the established climatostratigraphy of the last glacial cycle which has largely been developed from Northern Hemisphere records (e.g. Last Glacial Maximum (LGM), Termination 1, Younger Dryas). An initial outcome of NZ-INTIMATE has been the identification of a series of well-dated, high-resolution onshore and offshore proxy records from a variety of latitudes and elevations on a common calendar timescale from 30 000 cal. yr BP to the present day. High-resolution records for the last glacial coldest period (LGCP) (including the LGM sensu stricto) and last glacial-interglacial transition (LGIT) from Auckland maars, Kaipo and Otamangakau wetlands on eastern and central North Island, marine core MD97-2121 east of southern North Island, speleothems on northwest South Island, Okarito wetland on southwestern South Island, are presented. Discontinuous (fragmentary) records comprising compilations of glacial sequences, fluvial sequences, loess accumulation, and aeolian quartz accumulation in an andesitic terrain are described. Comparisons with ice-core records from Antarctica (EPICA Dome C) and Greenland (GISP2) are discussed. A major advantage immediately evident from these records apart from the speleothem record, is that they are linked precisely by one or more tephra layers. Based on these New Zealand terrestrial and marine records, a reasonably coherent, regionally applicable, sequence of climatically linked stratigraphic events over the past 30000cal.yr is emerging. Three major climate events are recognised: (1) LGCP beginning at ca. 28000cal.yr BP,ending at Termination 1, ca. 18000cal.yr BP, and including a warmer and more variable phase between ca. 27 000 and 21 000 cal. yr BP, (2) LGIT between ca. 18 000 and 11600 cal. yr BP, including a Lateglacial warm period from ca. 14800 to 13500 cal. yr BP and a Lateglacial climate reversal between ca. 13 500 and 11 600 cal. yr BP, and (3) Holocene interglacial conditions, with two phases of greatest warmth between ca. 11 600 and 10 800 cal. yr BP and from ca. 6 800 to 6 500 cal. yr BP. Some key boundaries coincide with volcanic tephras. Copyright (c) 2007 John Wiley &amp; Sons, Ltd.</t>
  </si>
  <si>
    <t>GNS Sci, Lower Hutt, New Zealand; Univ Waikato, Dept Earth &amp; Ocean Sci, Hamilton, New Zealand; Dunedin Res Ctr, GNS Sci, Dunedin, New Zealand; Univ Plymouth, Sch Geog, Plymouth PL4 8AA, Devon, England; Lincoln Univ, Div Agr &amp; Life Sci, Soil &amp; Phys Sci Grp, Canterbury, New Zealand; Univ Auckland, Dept Geol, Auckland 1, New Zealand; Univ Auckland, Sch Geog &amp; Environm Sci, Auckland 1, New Zealand; Victoria Univ Wellington, Antarctic Res Ctr, Wellington, New Zealand; Natl Inst Water &amp; Atmosphere, Wellington, New Zealand; Landcare Res, Canterbury, New Zealand; Univ Canterbury, Dept Geol Sci, Christchurch 1, New Zealand</t>
  </si>
  <si>
    <t>GNS Science - New Zealand; University of Waikato; GNS Science - New Zealand; University of Plymouth; Lincoln University - New Zealand; University of Auckland; University of Auckland; Victoria University Wellington; National Institute of Water &amp; Atmospheric Research (NIWA) - New Zealand; Landcare Research - New Zealand; University of Canterbury</t>
  </si>
  <si>
    <t>Alloway, BV (corresponding author), GNS Sci, POB 30368, Lower Hutt, New Zealand.</t>
  </si>
  <si>
    <t>balloway@aurelian.ca</t>
  </si>
  <si>
    <t>Lowe, David James/G-2654-2013; Wilmshurst, Janet/O-8611-2019; Litchfield, Nicola/C-4104-2013; Rieser, Uwe/F-4815-2011; Shane, Phil/HKV-7633-2023; Newnham, Rewi M/F-1111-2011; Augustinus, Paul/B-5125-2011; Bertler, Nancy A N/F-3967-2011; shulmeister, james/J-2859-2015; Crampton, James/G-1381-2012</t>
  </si>
  <si>
    <t>Lowe, David James/0000-0002-2547-6019; Wilmshurst, Janet/0000-0002-4474-8569; Litchfield, Nicola/0000-0002-2053-3176; Shane, Phil/0000-0002-7824-1184; Nobes, David/0000-0002-0344-7890; Woodward, Craig/0000-0003-1197-820X; Bertler, Nancy/0000-0001-6028-4891; KENNEDY, DAVID/0000-0002-4878-7717; shulmeister, james/0000-0001-5863-9462; Williams, Paul W./0000-0002-0298-8441; Van Dissen, Russ/0000-0001-8224-7573; Hollis, Christopher John/0000-0001-8840-9852; Mackintosh, Andrew/0000-0002-6430-4711; Hayward, Bruce W./0000-0003-1302-7686; Augustinus, Paul/0000-0002-1391-2151; Naish, Tim/0000-0002-1185-9932; Crampton, James/0000-0003-3270-9981; Cochran, Ursula/0000-0001-8002-4958</t>
  </si>
  <si>
    <t>0267-8179</t>
  </si>
  <si>
    <t>1099-1417</t>
  </si>
  <si>
    <t>J QUATERNARY SCI</t>
  </si>
  <si>
    <t>J. Quat. Sci.</t>
  </si>
  <si>
    <t>10.1002/jqs.1079</t>
  </si>
  <si>
    <t>127PM</t>
  </si>
  <si>
    <t>WOS:000243598800003</t>
  </si>
  <si>
    <t>Donda, F; Brancolini, G; O'Brien, PE; De Santis, L; Escutia, C</t>
  </si>
  <si>
    <t>Donda, F.; Brancolini, G.; O'Brien, P. E.; De Santis, L.; Escutia, C.</t>
  </si>
  <si>
    <t>Sedimentary processes in the Wilkes Land margin: a record of the Cenozoic East Antarctic Ice Sheet evolution</t>
  </si>
  <si>
    <t>JOURNAL OF THE GEOLOGICAL SOCIETY</t>
  </si>
  <si>
    <t>CONTINENTAL-MARGIN; TURBIDITE SYSTEMS; SEQUENCES; RISE; CIRCULATION; ANOMALIES; FACIES; BASIN</t>
  </si>
  <si>
    <t>Multichannel seismic data collected off Wilkes Land (East Antarctica) reveal four main units that represent distinct phases in the evolution of the Cenozoic depositional environment. A Cretaceous synrift succession is overlain by hemipelagic and distal terrigenous sequences deposited during Phase 1. Sediment ridges and debris-flow deposits mark the transition to Phase 2. Unit 3 records the maximum sediment input from the continent and is characterized by the predominance of turbidite deposits. During Phase 4 the sediment supply from the continental margin was reduced, and draping and filling were the dominant processes on the continental rise. Unit 4 also contains the deposits of sediment wave fields and asymmetric channel-levee systems. These four units are a response to the Cenozoic evolution of the East Antarctic Ice Sheet. During Phase 1, small ice caps were formed in the innermost continental areas. The ice volume increased under temperate glacial regimes during Phases 2 and 3, when large volumes of melt-water production led to high sediment discharge to the continental rise. Change to a polar regime occurred through Phase 4, when a thick prograding wedge developed on the continental shelf and slope and the sediment transport to the rise diminished, producing general starvation conditions.</t>
  </si>
  <si>
    <t>Ist Nazl Oceanog &amp; Geofis Sperimentale, Sgonico, TS, Italy; Geosci Australia, Canberra, ACT 2601, Australia; Univ Granada, CSIC, Inst Andaluz Ciencias Tierra, Granada 18002, Spain</t>
  </si>
  <si>
    <t>Istituto Nazionale di Oceanografia e di Geofisica Sperimentale; Geoscience Australia; University of Granada; Consejo Superior de Investigaciones Cientificas (CSIC); CSIC - Instituto Andaluz de Ciencias de la Tierra (IACT)</t>
  </si>
  <si>
    <t>Donda, F (corresponding author), Ist Nazl Oceanog &amp; Geofis Sperimentale, Borgo Grotta Gigante 42-c, Sgonico, TS, Italy.</t>
  </si>
  <si>
    <t>fdonda@ogs.trieste.it</t>
  </si>
  <si>
    <t>O'Brien, Philip/0000-0003-3446-3292; Donda, Federica/0000-0002-1284-5866; De Santis, Laura/0000-0002-7752-7754; Escutia, Carlota/0000-0002-4932-8619</t>
  </si>
  <si>
    <t>GEOLOGICAL SOC PUBL HOUSE</t>
  </si>
  <si>
    <t>UNIT 7, BRASSMILL ENTERPRISE CENTRE, BRASSMILL LANE, BATH BA1 3JN, AVON, ENGLAND</t>
  </si>
  <si>
    <t>0016-7649</t>
  </si>
  <si>
    <t>2041-479X</t>
  </si>
  <si>
    <t>J GEOL SOC LONDON</t>
  </si>
  <si>
    <t>J. Geol. Soc.</t>
  </si>
  <si>
    <t>10.1144/0016-76492004-159</t>
  </si>
  <si>
    <t>128GO</t>
  </si>
  <si>
    <t>WOS:000243646400023</t>
  </si>
  <si>
    <t>Leary, DK</t>
  </si>
  <si>
    <t>Kankaanpaa, P; Ovaskainen, S; Pekkala, L; Tennberg, M</t>
  </si>
  <si>
    <t>Leary, David K.</t>
  </si>
  <si>
    <t>Lesson, from the Arctic: The power of the Arctic experience to shape environmental governance in the Antarctic</t>
  </si>
  <si>
    <t>KNOWLEDGE AND POWER IN THE ARTIC, CONFERENCE PROCEEDINGS</t>
  </si>
  <si>
    <t>Artic Centre Reports</t>
  </si>
  <si>
    <t>Conference on Knowledge and Power in the Arctic</t>
  </si>
  <si>
    <t>APR 16-18, 2007</t>
  </si>
  <si>
    <t>Rovaniemi, FINLAND</t>
  </si>
  <si>
    <t>bioprospecting in Antarctica; bioprospecting in the Arctic; environmental governance in Antarctica</t>
  </si>
  <si>
    <t>Arctic states have regularly suggested that the Antarctic Treaty System could benefit from consideration of the Arctic experience in dealing with issues relating to environmental governance. This paper considers this hypothesis with a particular focus on the emerging issue of bioprospecting in Polar Regions. In spite of the differences between Antarctica and the Arctic, and because of their similarities, the Arctic experience is directly relevant to the emerging debate on bioprospecting in Antarctica. The Arctic experience in responding to this issue has the power to shape developments in Antarctic environmental governance at two levels. Understanding the nature and extent of commercial interest in the genetic resources of the Arctic should help us to understand whether commercial interest in Antarctic genetic resources is more than just a momentary diversion from the pure science [sic] upon which the framework of Antarctic governance is built. Secondly, the way in which Arctic legal and policy systems have dealt with the bioprospecring question might also provide some guidance on what issues the Antarctic regime will need to tackle and the possible challenges ahead. Finally and perhaps indirectly, examination of the Arctic experience for Antarctic purposes could also highlight areas of reform needed in Arctic jurisdictions. The paper outlines a two-year research project at the United Nations University-Institute of Advanced Studies that is examining the Arctic experience and its relevance to debate in relation to Antarctica.</t>
  </si>
  <si>
    <t>[Leary, David K.] Univ Inst Adv Studies, Int Organ Ctr 6F, Yokohama, Kanagawa 2208502, Japan</t>
  </si>
  <si>
    <t>leary@ias.unu.edu</t>
  </si>
  <si>
    <t>Leary, David/0000-0003-3852-4769</t>
  </si>
  <si>
    <t>UNIV LAPLAND</t>
  </si>
  <si>
    <t>ROVANIEMI</t>
  </si>
  <si>
    <t>ARCTIC CENTRE, INFORMATION SERVICE, PO BOX 122, 96101 ROVANIEMI, FINLAND</t>
  </si>
  <si>
    <t>1235-0583</t>
  </si>
  <si>
    <t>978-952-484-095-8</t>
  </si>
  <si>
    <t>U LAP A C R</t>
  </si>
  <si>
    <t>Anthropology; Social Sciences, Interdisciplinary</t>
  </si>
  <si>
    <t>Conference Proceedings Citation Index - Social Science &amp; Humanities (CPCI-SSH)</t>
  </si>
  <si>
    <t>Anthropology; Social Sciences - Other Topics</t>
  </si>
  <si>
    <t>BHK49</t>
  </si>
  <si>
    <t>WOS:000253841700005</t>
  </si>
  <si>
    <t>Tratt, DM; Neff, JM; Valinia, A</t>
  </si>
  <si>
    <t>Singh, UN; Pappalardo, G</t>
  </si>
  <si>
    <t>Tratt, David M.; Neff, Jon M.; Valinia, Azita</t>
  </si>
  <si>
    <t>NASA laser remote sensing technology needs for Earth science in the next decade and beyond</t>
  </si>
  <si>
    <t>LIDAR TECHNOLOGIES, TECHNIQUES, AND MEASUREMENTS FOR ATMOSPHERIC REMOTE SENSING III</t>
  </si>
  <si>
    <t>Conference on Lidar Technologies, Techniques, and Measurements for Atmospheric Remote Sensing III</t>
  </si>
  <si>
    <t>SEP 17-19, 2007</t>
  </si>
  <si>
    <t>lidar; laser radar; laser altimetry; Earth remote sensing</t>
  </si>
  <si>
    <t>ANTARCTIC ICE; LIDAR; PREDICTION; WEATHER; SPACE</t>
  </si>
  <si>
    <t>In late 2005 the NASA Earth Science Technology Office convened a working group to review decadal-term technology needs for Earth science active optical remote sensing objectives. The outcome from this effort is intended to guide future NASA investments in laser remote sensing technologies. This paper summarizes the working group findings and places them in context with the conclusions of the National Research Council assessment of Earth science needs, completed in 2007.</t>
  </si>
  <si>
    <t>[Tratt, David M.; Neff, Jon M.] Aerosp Corp, 200 S Los Robles Ave,Suite 150, Pasadena, CA 91101 USA; [Valinia, Azita] NASA, Goddard Space Flight Ctr, Greenbelt, MD 20771 USA</t>
  </si>
  <si>
    <t>Aerospace Corporation - USA; National Aeronautics &amp; Space Administration (NASA); NASA Goddard Space Flight Center</t>
  </si>
  <si>
    <t>Tratt, DM (corresponding author), Aerosp Corp, 200 S Los Robles Ave,Suite 150, Pasadena, CA 91101 USA.</t>
  </si>
  <si>
    <t>Tratt, David M/A-7884-2009</t>
  </si>
  <si>
    <t>Tratt, David M/0000-0002-3942-6848</t>
  </si>
  <si>
    <t>978-0-8194-6908-3</t>
  </si>
  <si>
    <t>10.1117/12.740063</t>
  </si>
  <si>
    <t>Remote Sensing; Optics</t>
  </si>
  <si>
    <t>BHF78</t>
  </si>
  <si>
    <t>WOS:000252771400032</t>
  </si>
  <si>
    <t>Yahel, G; Whitney, F; Reiswig, HM; Eerkes-Medrano, DI; Leys, SP</t>
  </si>
  <si>
    <t>Yahel, Gitai; Whitney, Frank; Reiswig, Henry M.; Eerkes-Medrano, Dafne I.; Leys, Sally P.</t>
  </si>
  <si>
    <t>In situ feeding and metabolism of glass sponges (Hexactinellida, Porifera) studied in a deep temperate fjord with a remotely operated submersible</t>
  </si>
  <si>
    <t>LIMNOLOGY AND OCEANOGRAPHY</t>
  </si>
  <si>
    <t>CANADIAN CONTINENTAL-SHELF; DISSOLVED ORGANIC-CARBON; FRESH-WATER ECOSYSTEMS; BRITISH-COLUMBIA; SUSPENSION FEEDERS; VANCOUVER ISLAND; MARINE; SEA; PLANKTON; MUSSELS</t>
  </si>
  <si>
    <t>Glass sponges are conspicuous inhabitants of benthic communities in the cool waters of the Antarctic and north Pacific continental shelf. We used an ROV outfitted with a new device for simultaneous sampling of water inhaled and exhaled by the sponges to provide the first data on the nutritional ecology and metabolism of two glass sponge species in their natural deep-water habitat (120-160 m). Aphrocallistes vastus and Rhabdocalyptus dawsoni were found to be mostly bacteriovores, removing up to 95% of the bacteria (median removal was 79% for both species) and heterotrophic protists (&lt; 10 mu m) from the water they filter. The relatively scarce microbial cells were efficiently selected from a 'soup' of suspended clay and detritus particles (microorganisms accounted for similar to 1% of the total ambient suspended solids). Removal of planktonic microorganisms (2.2 +/- 1.3 mu mol carbon [C] C L-1 and 0.37 +/- 0.17 mu mol nitrogen [N] L-1) accounted for the entire total organic C uptake and ammonium excretion by both species, with no evidence for dissolved organic uptake. Similar results were obtained in laboratory experiments in which dissolved organic C was directly measured. Despite the massive siliceous sponge skeleton, silica uptake was below detection levels (0.28 mu mol L-1), supporting previous suggestions of low growth rates in Hexactinellida. Reported mean sponge abundances of &gt; 1 individual m(-2) indicate that the sponge filtering activity may significantly affect the deep microbial community and benthic-pelagic mass exchange in some northeast Pacific fjords.</t>
  </si>
  <si>
    <t>Univ Victoria, Dept Biol, Victoria, BC V8W 3N5, Canada; Univ Victoria, Dept Biol, Sidney, BC V8L 4B2, Canada; Royal British Colombia Museum, Victoria, BC, Canada; Univ Victoria, Dept Biol, Victoria, BC V8W 2N5, Canada; Univ Alberta, Dept Biol Sci, Edmonton, AB T6G 2E9, Canada</t>
  </si>
  <si>
    <t>University of Victoria; University of Victoria; University of Victoria; University of Alberta</t>
  </si>
  <si>
    <t>Yahel, G (corresponding author), Univ Victoria, Dept Biol, POB 3020 Stn CSC, Victoria, BC V8W 3N5, Canada.</t>
  </si>
  <si>
    <t>Yahel@UVic.ca</t>
  </si>
  <si>
    <t>Yahel, Gitai/A-3696-2012; Leys, Sally/A-2660-2014</t>
  </si>
  <si>
    <t>Yahel, Gitai/0000-0003-2306-355X;</t>
  </si>
  <si>
    <t>AMER SOC LIMNOLOGY OCEANOGRAPHY</t>
  </si>
  <si>
    <t>WACO</t>
  </si>
  <si>
    <t>5400 BOSQUE BLVD, STE 680, WACO, TX 76710-4446 USA</t>
  </si>
  <si>
    <t>0024-3590</t>
  </si>
  <si>
    <t>LIMNOL OCEANOGR</t>
  </si>
  <si>
    <t>Limnol. Oceanogr.</t>
  </si>
  <si>
    <t>10.4319/lo.2007.52.1.0428</t>
  </si>
  <si>
    <t>Limnology; Oceanography</t>
  </si>
  <si>
    <t>Marine &amp; Freshwater Biology; Oceanography</t>
  </si>
  <si>
    <t>130JH</t>
  </si>
  <si>
    <t>WOS:000243795400037</t>
  </si>
  <si>
    <t>Zulbati, F; Harley, SL</t>
  </si>
  <si>
    <t>Zulbati, F.; Harley, S. L.</t>
  </si>
  <si>
    <t>Late Archaean granulite facies metamorphism in the Vestfold Hills, East Antarctica</t>
  </si>
  <si>
    <t>LITHOS</t>
  </si>
  <si>
    <t>East antarctica; Archaean; granulite; thermobarometry; Gondwana</t>
  </si>
  <si>
    <t>PRINCE-CHARLES MOUNTAINS; ORTHO-PYROXENE; COEXISTING GARNET; LARSEMANN HILLS; NAPIER COMPLEX; SM-ND; EVOLUTION; CRUST; GEOBAROMETERS; CONSTRAINTS</t>
  </si>
  <si>
    <t>Granulites of the Vestfold Hills record a pulsed end-Archaean to early Palaeoproterozoic M1-M2 evolution that is distinct from other Archaean areas in East Antarctica and cratonic domains placed adjacent to East Antarctica in Gondwana reconstructions. Pressure and temperature conditions of the end-Archaean to earliest Palaeoproterozoic (2501-2496 Ma) M1 granulite facies metamorphism in the Vestfold Hills have been constrained from mineral assemblages and thermobarometry of Fe-rich paragneisses. Reintegrated compositions of exsolved subcalcic clinopyroxenes and pigeonites in a metaironstone yield temperatures of 895 +/- 35 degrees C, whilst reintegrated compositions of perthitic feldspars in semipelitic paragneisses give minimum estimates of 860 +/- 30 C. These results rule out the extreme ultrahigh teinperature (UHT) conditions previously proposed for M1 in the Vestfold Hills. Pressures of metamorphism during M1 are estimated as 8.1 +/- 0.9 kb at 850 +/- 40 degrees C from hercynite+sillimanite+almandine+corundum and retrieved Fe-Mg-Al relations in orthopyroxene coexisting with garnet. A second metamorphic event, M2, occurred at 600-660 degrees C and 6-8 kb based on thermometry of recrystallised pyroxene neoblasts and thermobarometry applied to M2 garnet-quartz symplectites formed on orthopyroxene and garnet. The intervening emplacement of the magmatic Crooked Lake Gneiss Group precursors occurred at similar or shallower pressures prior to D2-M2, an event that caused tectonic interleaving and reactivation of the Vestfold Hills basement at mid-crustal depths in the earliest Palaeoproterozoic, prior to its unroofing to shallower levels (3-5 kb) by 2470 Ma. The lack of correlative Archaean histories in areas that were formerly adjacent in Gondwanan reconstructions is consistent with the Vestfold Hills region either being exotic to the East Antarctic Shield until the final (Neoproterozoic to Cambrian) amalgamation of Gondwana, or being accreted to part of East Antarctica in a Proterozoic event distinct from the Rayner-Eastern Ghats tectonism that united much of India with Antarctica at 1000-900 Ma. (c) 2006 Elsevier B.V All rights reserved.</t>
  </si>
  <si>
    <t>Univ Edinburgh, Grant Inst Earth Sci, Sch Geosci, Edinburgh EH9 3JW, Midlothian, Scotland</t>
  </si>
  <si>
    <t>Harley, SL (corresponding author), Univ Edinburgh, Grant Inst Earth Sci, Sch Geosci, W Mains Rd, Edinburgh EH9 3JW, Midlothian, Scotland.</t>
  </si>
  <si>
    <t>fabiozulbati@yahoo.com; Simon.Harley@ed.ac.uk</t>
  </si>
  <si>
    <t>Harley, Simon/0000-0002-1903-939X</t>
  </si>
  <si>
    <t>0024-4937</t>
  </si>
  <si>
    <t>1872-6143</t>
  </si>
  <si>
    <t>Lithos</t>
  </si>
  <si>
    <t>10.1016/j.lithos.2006.04.004</t>
  </si>
  <si>
    <t>Geochemistry &amp; Geophysics; Mineralogy</t>
  </si>
  <si>
    <t>128BS</t>
  </si>
  <si>
    <t>WOS:000243631500003</t>
  </si>
  <si>
    <t>Arango, X; Rozzi, R; Massardo, F; Anderson, CB; Ibarra, T</t>
  </si>
  <si>
    <t>Arango, Ximena; Rozzi, Ricardo; Massardo, Francisca; Anderson, Christopher B.; Ibarra, Tomas</t>
  </si>
  <si>
    <t>Discovery and implementation of Magellanic woodpecker (Campephilus magellanicus) as an emblematic species:: A biocultural approach for conservation in Cape Horn Biosphere Reserve</t>
  </si>
  <si>
    <t>MAGALLANIA</t>
  </si>
  <si>
    <t>Campephilus magellanicus; charismatic species; conservation; old-growth forests; Cape Horn Bisophere Reserve</t>
  </si>
  <si>
    <t>At the southernmost part of South America there is Cape Horn Biosphere Reserve where the Magellanic sub-Antarctic evergreen unfragmented the Nothofagus forests still persist. This zone has been considered as one of the world's most pristine regions and this area is currently subject to increasing development pressures from new connectivity, urban expansion and tourism development. Using a biocultural approach we found that the Magellanic Woodpecker (Campephilus magellanicus) is the favorite bird for the community of Puerto Williams, the world's southernmost town and the biggest human centre in the Cape Horn Biosphere Reserve. Although, significant differences (P &lt; 0,05) exists between the preferences of the sociocultural groups toward birds, all groups agreed in their preferences toward the Magellanic woodpecker. This species of bird was the preferred for the people who have been longer in Cape Horn: the members of the Yahgan Indigenous Community and long time residents. The analysis of these results as well as the discovery of ten attributes that this species of picid presents which in addition is the largest of South America, have taken us to consider it like a charismatic or emblematic species with a high potential for the conservation of the austral forests of Cape Horn Biosphere Reserve. For this previous reasons the Magellanic woodpecker could be transformed into a symbol or a charismatic species for the conservation of the pristine austral forest. Between the year 2005 and 2007 we developed the Magellanic Woodpecker Implementation Program with the objective to increase both its intrinsic value and habitat valuation and the knowledge from the local community. The discovery of this species potential as well as their later implementation may contribute to the conservation of the fragile, singular and beautiful austral forests and its singular biological and cultural diversity.</t>
  </si>
  <si>
    <t>[Arango, Ximena; Rozzi, Ricardo; Massardo, Francisca; Anderson, Christopher B.; Ibarra, Tomas] Univ Magallanes, Sed Puerto Williams &amp; Inst Ecol &amp; Biodiversidad, Punta Arenas, Chile; [Rozzi, Ricardo] Univ N Texas, Dept Philosophy &amp; Relig Studies, Denton, TX 76203 USA; [Ibarra, Tomas] Pontificia Univ Catolica Chile, Fac Agron &amp; Ingn Forestal, Programa Recursos Nat, Lab Fauna Australis, Santiago, Chile</t>
  </si>
  <si>
    <t>Universidad de Magallanes; University of North Texas System; University of North Texas Denton; Pontificia Universidad Catolica de Chile</t>
  </si>
  <si>
    <t>Arango, X (corresponding author), Univ Magallanes, Sed Puerto Williams &amp; Inst Ecol &amp; Biodiversidad, Punta Arenas, Chile.</t>
  </si>
  <si>
    <t>xae_arango@yahoo.es</t>
  </si>
  <si>
    <t>Rozzi, Ricardo/G-1047-2012; Anderson, Christopher/V-4882-2019</t>
  </si>
  <si>
    <t>Rozzi, Ricardo/0000-0001-5265-8726; Anderson, Christopher/0000-0001-8120-5689; Ibarra, Jose Tomas/0000-0002-7705-3974</t>
  </si>
  <si>
    <t>UNIV MAGALLANES</t>
  </si>
  <si>
    <t>PUNTA ARENAS</t>
  </si>
  <si>
    <t>INST PAGAGONIA, AVDA BULNES 01890, CASILLA DE CORREOS 113-D, PUNTA ARENAS, MAGALLANES 00000, CHILE</t>
  </si>
  <si>
    <t>0718-2244</t>
  </si>
  <si>
    <t>Magallania</t>
  </si>
  <si>
    <t>Anthropology</t>
  </si>
  <si>
    <t>273SX</t>
  </si>
  <si>
    <t>WOS:000253953100006</t>
  </si>
  <si>
    <t>Zelaya, DG; Geiger, DL</t>
  </si>
  <si>
    <t>Zelaya, Diego G.; Geiger, Daniel L.</t>
  </si>
  <si>
    <t>Species of Scissurellidae and Anatomidae from Sub-Antarctic and Antarctic waters (Gastropoda: Vetigastropoda)</t>
  </si>
  <si>
    <t>MALACOLOGIA</t>
  </si>
  <si>
    <t>Anatoma; Thieleella; Scissurella; Ariella; Sinezona; Southern Ocean</t>
  </si>
  <si>
    <t>MOLLUSCA</t>
  </si>
  <si>
    <t>A systematic revision on the shallow and abyssal species of Scissurellidae and Anatomidae occurring in Sub-Antarctic and Antarctic waters was carried out. This study is based on material from several field trips and museum collections. The shell morphologies of all the species are redescribed and illustrated with scanning electron micrographs. Additional information on the gross anatomy and the radula for seven species is given. A total of six anatomid and seven scissurellid species are recognized as valid in Sub-Antarctic and Antarctic waters, including three new species herein described. Anatomids are represented by the genera Anatoma and Thieleella; the species recognized for the area are: Anatoma conica (d'Orbigny, 1841), characterized by having a globular shell, sculptured with strong axial ribs; Anatoma euglypta (Pelseneer, 1903), has a biconical, delicately cancellate shell; Anatoma shiraseae Numanami &amp; Okutani, 1990, a gradated shell with a distinct spiral ridge on the shoulder and cancellate ornamentation; Thieleella amoena (Thiele, 1912), is globose, strongly sculptured, and with flared lower portion of aperture; Thieleella weddelliana n. sp. is characterized by having a laterally expanded shell, with rounded whorls, deep umbilicus, and strong axial ribs; and Thieleella argentinae n. sp. shows a depressed and widely umbilicated shell, with cancellate sculpture. Scissurellids are represented by the genera Scissurella, Ariella, and Sinezona: Scissurella clathrata Strebel, 1908, is characterized by having an inflated shell with densely cancellate sculpture; Scissurella petermannensis Lamy, 1910, is sculptured with strong axial ribs; Scissurella obliqua Watson, 1886, is nearly smooth and has a shallow umbilicus; Scissurella malvinarum n. sp. also has a smooth shell surface, but the umbilicus is deep and surrounded by 2-6 spiral cords; in Scissurella supraplicata Smith, 1875, the shell is inflated and teleoconch I exhibits strong axial ribs; Ariella subantarctica (Hedley, 1916), has a depressed shell, sculptured with axial ribs and spiral cords, a prominent umbilical callus, and closed foramen; and Sinezona mouchezi (Velain, 1876), is inflated, sculptured with strong axial ribs, showing a wide umbilicus and a large foramen. The other three scissurellid species previously described from the area - Scissurella eucharista Melvill &amp; Standen, 1912; Scissurella timora Melvill &amp; Standen, 1912; and Scissurella medioplicata Thiele, 1925 - are considered to be synonyms, and Scissurella dalli Bartsch, 1903, is considered a nomen dubium. As part of this revision lectotypes are designated for Thielella amoena, Scissurella timora, Scissurella medioplicata, Scissurella obliqua, and Sinezona mouchezi.</t>
  </si>
  <si>
    <t>Museo La Plata, Div Zool Invertebrados, RA-1900 La Plata, Argentina; Santa Barbara Museum Nat Hist, Santa Barbara, CA 93105 USA</t>
  </si>
  <si>
    <t>National University of La Plata; Museo La Plata</t>
  </si>
  <si>
    <t>Zelaya, DG (corresponding author), Museo La Plata, Div Zool Invertebrados, Paseo Bosque S-N, RA-1900 La Plata, Argentina.</t>
  </si>
  <si>
    <t>dzelaya@fcnym.unlp.edu.ar; geiger@vetigastropoda.com</t>
  </si>
  <si>
    <t>Geiger, Daniel L./JXY-5894-2024</t>
  </si>
  <si>
    <t>Geiger, Daniel L./0000-0002-2417-8474</t>
  </si>
  <si>
    <t>INST MALACOL</t>
  </si>
  <si>
    <t>ANN ARBOR</t>
  </si>
  <si>
    <t>2415 SOUTH CIRCLE DR, ANN ARBOR, MI 48103 USA</t>
  </si>
  <si>
    <t>0076-2997</t>
  </si>
  <si>
    <t>2168-9075</t>
  </si>
  <si>
    <t>Malacologia</t>
  </si>
  <si>
    <t>10.4002/0076-2997-49.2.393</t>
  </si>
  <si>
    <t>195TY</t>
  </si>
  <si>
    <t>WOS:000248436000010</t>
  </si>
  <si>
    <t>Robineau, D; Goodall, RNP; Pichler, F; Baker, CS</t>
  </si>
  <si>
    <t>Robineau, Daniel; Prosser Goodall, Rae Natalie; Pichler, Franz; Baker, Charles S.</t>
  </si>
  <si>
    <t>Description of a new subspecies of Commerson's dolphin, Cephalorhynchus commersonii (Lacepede, 1804), inhabiting the coastal waters of the Kerguelen Islands</t>
  </si>
  <si>
    <t>MAMMALIA</t>
  </si>
  <si>
    <t>Cephalorhynchus commersonii; Cetacea; Commerson's dolphin; Delphinidae; Kerguelen Islands; new subspecies</t>
  </si>
  <si>
    <t>PIGMENTATION; POPULATION; (LACEPEDE</t>
  </si>
  <si>
    <t>A small population of Commerson's dolphin (Cephalorhynchus commersonii), widely separated from the South American main population, inhabits the coastal waters of the Kerguelen Islands (Indian sector of the Antarctic or Southern Ocean). The dolphins of this population differ from those of South America by their pigmentation and morphology. Several arguments, including geographic isolation, morphological difference and genetic data (absence of genetic flow between populations and haplotype differences) lead to formally distinguishing a new subspecies, Cephalorhynchus commersonii kerguelenensis, from a nominate subspecies, Cephalorhynchus commersonii commersonii.</t>
  </si>
  <si>
    <t>[Robineau, Daniel] Museum Natl Hist Nat, Dept Ecol &amp; Gest Biodiversite, USM 304, F-75231 Paris 05, France; [Prosser Goodall, Rae Natalie] CADIC, RA-9410 Ushuaia, Tierra Fuego, Argentina; [Prosser Goodall, Rae Natalie] Museo Acatushun Aves &amp; Mamiferos Marinos Australe, RA-9410 Ushuaia, Tierra Fuego, Argentina; [Pichler, Franz; Baker, Charles S.] Univ Auckland, Sch Biol Sci, Auckland 1, New Zealand</t>
  </si>
  <si>
    <t>Museum National d'Histoire Naturelle (MNHN); University of Auckland</t>
  </si>
  <si>
    <t>Robineau, D (corresponding author), Museum Natl Hist Nat, Dept Ecol &amp; Gest Biodiversite, USM 304, Pavillon Anat Comparee,55 Rue Buffon CP 55, F-75231 Paris 05, France.</t>
  </si>
  <si>
    <t>robineau@mnhn.fr</t>
  </si>
  <si>
    <t>WALTER DE GRUYTER &amp; CO</t>
  </si>
  <si>
    <t>GENTHINER STRASSE 13, D-10785 BERLIN, GERMANY</t>
  </si>
  <si>
    <t>0025-1461</t>
  </si>
  <si>
    <t>Mammalia</t>
  </si>
  <si>
    <t>10.1515/MAMM.2007.034</t>
  </si>
  <si>
    <t>245VK</t>
  </si>
  <si>
    <t>WOS:000251966700004</t>
  </si>
  <si>
    <t>Temby, N; Miller, K; Mundy, C</t>
  </si>
  <si>
    <t>Temby, Nepelle; Miller, Karen; Mundy, Craig</t>
  </si>
  <si>
    <t>Evidence of genetic subdivision among populations of blacklip abalone (Haliotis rubra Leach) in Tasmania</t>
  </si>
  <si>
    <t>MARINE AND FRESHWATER RESEARCH</t>
  </si>
  <si>
    <t>abalone; fisheries management; gene flow; habitat; larval dispersal; microsatellite DNA</t>
  </si>
  <si>
    <t>GENOTYPIC DIVERSITY; LARVAL DISPERSAL; GENUS HALIOTIS; CALIFORNIA; MOLLUSCA; FLOW; DIFFERENTIATION; CRACHERODII; RECRUITMENT; GASTROPODA</t>
  </si>
  <si>
    <t>The scale over which populations exchange individuals ( migration) is central to ecology, and important for understanding recruitment and connectivity in commercial species. Field studies indicate that blacklip abalone ( Haliotis rubra) have localised larval dispersal. However, genetic studies show differentiation only at large scales, suggesting dispersal over more than 100 km. Most genetic studies, however, have failed to test for subdivision at scales equivalent to field experiments. We used microsatellite DNA to investigate genetic structure at small scales ( 100m to 10 km) in blacklip abalone in south-east Tasmania. We found significant subdivision ( F-ST = 0.021; P&lt; 0.05) among sites, and hierarchical FST analysis indicated 64% of genetic variation was at the smallest scale, supporting field studies that concluded larval dispersal is less than 100 m. We also tested if genetic differentiation varied predictably with wave exposure, but found no evidence that differences between adjacent sites in exposed locations varied from differences between adjacent sites in sheltered populations ( mean F-ST = 0.016 and 0.017 respectively). Our results show the usefulness of microsatellites for abalone, but also identify sampling scales as critical in understanding gene flow and dispersal of abalone larvae in an ecologically relevant framework. Importantly, our results indicate that H. rubra populations are self-recruiting, which will be important for the management of this commercial species.</t>
  </si>
  <si>
    <t>Univ Tasmania, Sch Zool, Hobart, Tas 7001, Australia; Univ Tasmania, Tasmanian Aquaculture &amp; Fisheries Inst, Marine Res Lab, Hobart, Tas 7001, Australia</t>
  </si>
  <si>
    <t>University of Tasmania; University of Tasmania</t>
  </si>
  <si>
    <t>Miller, K (corresponding author), Univ Tasmania, Inst Antarctic &amp; So Ocean Studies, Private Bag 77, Hobart, Tas 7001, Australia.</t>
  </si>
  <si>
    <t>karen.miller@utas.edu.au</t>
  </si>
  <si>
    <t>Mundy, Craig/G-3390-2014; Miller, Karen/V-4098-2019; Miller, Karen/A-7902-2011</t>
  </si>
  <si>
    <t>Mundy, Craig/0000-0002-1945-3750;</t>
  </si>
  <si>
    <t>1323-1650</t>
  </si>
  <si>
    <t>1448-6059</t>
  </si>
  <si>
    <t>MAR FRESHWATER RES</t>
  </si>
  <si>
    <t>Mar. Freshw. Res.</t>
  </si>
  <si>
    <t>10.1071/MF07015</t>
  </si>
  <si>
    <t>Fisheries; Limnology; Marine &amp; Freshwater Biology; Oceanography</t>
  </si>
  <si>
    <t>203OX</t>
  </si>
  <si>
    <t>Green Accepted, Green Submitted</t>
  </si>
  <si>
    <t>WOS:000248985000006</t>
  </si>
  <si>
    <t>Xavier, JC; Wood, AG; Rodhouse, PG; Croxall, JP</t>
  </si>
  <si>
    <t>Xavier, J. C.; Wood, A. G.; Rodhouse, P. G.; Croxall, J. P.</t>
  </si>
  <si>
    <t>Interannual variations in cephalopod consumption by albatrosses at South Georgia: implications for future commercial exploitation of cephalopods</t>
  </si>
  <si>
    <t>antarctic cephalopods; diet analysis; fisheries; trophic interactions</t>
  </si>
  <si>
    <t>DIOMEDEA-MELANOPHRIS; FEEDING ECOLOGY; BIRD ISLAND; PROCELLARIA-AEQUINOCTIALIS; APTENODYTES-PATAGONICUS; FALKLAND-ISLANDS; MIROUNGA-LEONINA; ELEPHANT SEAL; DIET; PREY</t>
  </si>
  <si>
    <t>Assessing the consumption of prey by predators in the marine environment is key to fisheries assessment and management. Although environmental and ecological variations can affect the consumption of certain prey by albatrosses interannually, this issue has not been addressed to date. In the present study, the interannual consumption of cephalopods by grey-headed and black-browed albatrosses was assessed while breeding at South Georgia between 1996 and 2000, by comparing consumption estimates from a reparameterised version of the South Georgia Seabird Impact Assessment (SGSIA) model. The reparameterised model showed that there are considerable interannual variations in cephalopod consumption in both albatross species, with the highest consumption occurring in 1996 (5787 tonnes; for black-browed albatrosses) and 1997 (11 627 tonnes; for grey-headed albatrosses), and the lowest in 2000 (2309 tonnes and 772 tonnes for grey-headed and black-browed albatrosses respectively). These interannual variations were linked to oceanographic conditions and changes in cephalopod abundance/availability to predators. The cephalopod species with the most commercial potential (Martialia hyadesi, Kondakovia longimana, Moroteuthis knipovitchi and Gonatus antarcticus) also showed considerable differences in their consumption by predators. Owing to the importance of these squid species in the diet of albatrosses, precautionary measures for future commercial exploitation are suggested.</t>
  </si>
  <si>
    <t>[Xavier, J. C.; Wood, A. G.; Rodhouse, P. G.; Croxall, J. P.] British Antarctic Survey, NERC, Cambridge CB3 0ET, England; [Wood, A. G.] Univ Algarve, Fac Marine &amp; Environm Sci, Ctr Marine Sci, P-8000139 Faro, Portugal</t>
  </si>
  <si>
    <t>UK Research &amp; Innovation (UKRI); Natural Environment Research Council (NERC); NERC British Antarctic Survey; Universidade do Algarve</t>
  </si>
  <si>
    <t>Xavier, JC (corresponding author), British Antarctic Survey, NERC, High Cross, Cambridge CB3 0ET, England.</t>
  </si>
  <si>
    <t>jxavier@ualg.pt</t>
  </si>
  <si>
    <t>Xavier, José/KFB-6739-2024</t>
  </si>
  <si>
    <t>/0000-0002-9621-6660</t>
  </si>
  <si>
    <t>Natural Environment Research Council [bas010017] Funding Source: researchfish; NERC [bas010017] Funding Source: UKRI</t>
  </si>
  <si>
    <t>10.1071/MF06237</t>
  </si>
  <si>
    <t>240IA</t>
  </si>
  <si>
    <t>WOS:000251580100007</t>
  </si>
  <si>
    <t>Lischka, S; Hagen, W</t>
  </si>
  <si>
    <t>Lischka, Silke; Hagen, Wilhelm</t>
  </si>
  <si>
    <t>Seasonal lipid dynamics of the copepods Pseudocalanus minutus (Calanoida) and Oithona similis (Cyclopoida) in the Arctic Kongsfjorden (Svalbard)</t>
  </si>
  <si>
    <t>MARINE BIOLOGY</t>
  </si>
  <si>
    <t>FATTY-ACID-COMPOSITION; WAX ESTERS; ANTARCTIC COPEPODS; CALANUS-FINMARCHICUS; TROPHIC MARKERS; ENERGETIC ADAPTATIONS; HERBIVOROUS COPEPODS; ALCOHOL COMPOSITION; PLANKTON COMMUNITY; MARINE COPEPODS</t>
  </si>
  <si>
    <t>Seasonal lipid dynamics of various developmental stages were investigated in Pseudocalanus minutus and Oithona similis. For P. minutus, the dominance of 16:1(n-7), 16:4(n-3) and 20:5(n-3) fatty acids indicated a diatom-based nutrition in spring, whereas 22:6(n-3), 16:0, 18:2(n-6) and 18:1(n-9) pointed to a flagellate-based diet during the rest of the year as well as omnivorous/carnivorous low-level feeding during winter. The shorter-chain fatty alcohols 14:0 and 16:0 prevailed, also reflecting biosynthetic processes typical of omnivores or carnivores. Altogether, the lipid signatures characterized P. minutus as an opportunistic feeder. In contrast, O. similis had consistently high amounts of the 18:1(n-9) fatty acid in all stages and during all seasons pointing to a generally omnivorous/carnivorous/detritivorous diet. Furthermore, the fatty alcohol 20:1(n-9) reached high percentages especially in adult females and males, and feeding on Calanus faecal pellets is suggested. Fatty alcohols, as wax ester moieties, revealed significant seasonal variations in O. similis and a seasonal trend towards wax ester accumulation in autumn in P. minutus. P. minutus utilized its lipid deposits for development in the copepodite stages III and IV and for gonad maturation in CV and females during the dark season. However, CVs and females depended on the spring phytoplankton bloom for final maturation processes and reproduction. O. similis fueled gonad maturation and egg production for reproduction in June by wax esters, whereas reproduction in August/September co-occurred with the accumulation of new depot lipids. Both species revealed significantly higher wax ester levels in deeper (&gt; 50 m) as compared to surface (0-50 m) dwelling individuals related to a descent prior to overwintering.</t>
  </si>
  <si>
    <t>Univ Kiel, Inst Polar Ecol, D-24148 Kiel, Germany; Univ Bremen NW 2A, Marine Zool FB 2, D-28334 Bremen, Germany</t>
  </si>
  <si>
    <t>University of Kiel; University of Bremen</t>
  </si>
  <si>
    <t>Lischka, S (corresponding author), Univ Kiel, Inst Polar Ecol, Wischhofstr 1-3,Bldg 12, D-24148 Kiel, Germany.</t>
  </si>
  <si>
    <t>slischka@ipoe.uni-kiel.de</t>
  </si>
  <si>
    <t>Hagen, Wilhelm/0000-0002-7462-9931; Lischka, Silke/0000-0001-5045-1799</t>
  </si>
  <si>
    <t>233 SPRING STREET, NEW YORK, NY 10013 USA</t>
  </si>
  <si>
    <t>0025-3162</t>
  </si>
  <si>
    <t>MAR BIOL</t>
  </si>
  <si>
    <t>Mar. Biol.</t>
  </si>
  <si>
    <t>10.1007/s00227-006-0359-4</t>
  </si>
  <si>
    <t>116UY</t>
  </si>
  <si>
    <t>WOS:000242830200011</t>
  </si>
  <si>
    <t>Orejas, C; Gili, JM; López-González, PJ; Hasemann, C; Arntz, WE</t>
  </si>
  <si>
    <t>Orejas, C.; Gili, J. M.; Lopez-Gonzalez, P. J.; Hasemann, C.; Arntz, W. E.</t>
  </si>
  <si>
    <t>Reproduction patterns of four Antarctic octocorals in the Weddell Sea:: an inter-specific, shape, and latitudinal comparison</t>
  </si>
  <si>
    <t>GORGONIAN PARAMURICEA-CLAVATA; BRACHIOPOD LIOTHYRELLA-UVA; SEXUAL REPRODUCTION; MARINE-INVERTEBRATES; LARVAL DEVELOPMENT; SOFT CORAL; EMBRYONIC-DEVELOPMENT; POPULATION-DYNAMICS; GONADAL DEVELOPMENT; SOLITARY CORALS</t>
  </si>
  <si>
    <t>The reproductive patterns of four Antarctic gorgonian species have been investigated. Two of them, Dasystenella acanthina and Thouarella sp., present the bottle-brush-shape type; the other two, Fannyella rossii and Fannyella spinosa, are fan-shaped. Two different reproductive patterns have been observed in D. acanthina and Thouarella sp., which point to two size classes in the frequency distribution of oocytes. This feature indicates a reproduction cycle with overlapping generations, being each of them of more than one year, probably with seasonal spawning. F. rossii and F. spinosa show only one size class of oocytes, which could point towards an annual reproductive cycle. The presence of larvae in the gastrovascular cavities in both Fanyella species and Thoaurella sp. is a sign of a possible larvae release during austral summer. The number of oocytes per polyp ranges from 1.1 +/- 0.10 SE to 1.5 +/- 0.06 SE, and the size ranges from 50 to 1200 mu m. The number of spermatic cysts ranges from 2.6 +/- 0.19 SE to 5.0 +/- 0.21SE, and their sizes range from 50 to 800 mu m. These values are comparable to the reproductive trends and features found in gorgonians from other latitudes, which correspond in some cases with similar morphotypes. These coincident strategies could be related to morphological similarities rather than with latitude or water temperature. The results of this study indicate that octocoral morphology may play a crucial role in determining the reproductive output of these organisms.</t>
  </si>
  <si>
    <t>CSIC, CMIMA, Inst Ciencias Mar, E-08003 Barcelona, Spain; Alfred Wegener Inst Polar &amp; Marine Res, D-27568 Bremerhaven, Germany; Univ Seville, Fac Biol, Dpto Fisiol &amp; Zool, E-41012 Seville, Spain</t>
  </si>
  <si>
    <t>Consejo Superior de Investigaciones Cientificas (CSIC); CSIC - Centro Mediterraneo de Investigaciones Marinas y Ambientales (CMIMA); CSIC - Instituto de Ciencias del Mar (ICM); Helmholtz Association; Alfred Wegener Institute, Helmholtz Centre for Polar &amp; Marine Research; University of Sevilla</t>
  </si>
  <si>
    <t>Orejas, C (corresponding author), CSIC, CMIMA, Inst Ciencias Mar, Passeig Maritim Barceloneta,37-49, E-08003 Barcelona, Spain.</t>
  </si>
  <si>
    <t>cova@icm.csic.esl; gili@icm.csic.es; pjlopez@us.es; chasemann@awi-bremerhaven.de; warntz@awi-bremerhaven.de</t>
  </si>
  <si>
    <t>Orejas, Covadonga/B-1644-2012; Lopez-González, Pablo J./Y-6440-2018; Hasemann, Christiane/AAJ-1352-2020</t>
  </si>
  <si>
    <t>Lopez-González, Pablo J./0000-0002-7348-6270; Hasemann, Christiane/0000-0002-2859-3392; Orejas Saco del Valle, Covadonga/0000-0002-2580-1002</t>
  </si>
  <si>
    <t>SPRINGER HEIDELBERG</t>
  </si>
  <si>
    <t>HEIDELBERG</t>
  </si>
  <si>
    <t>TIERGARTENSTRASSE 17, D-69121 HEIDELBERG, GERMANY</t>
  </si>
  <si>
    <t>1432-1793</t>
  </si>
  <si>
    <t>10.1007/s00227-006-0370-9</t>
  </si>
  <si>
    <t>116UZ</t>
  </si>
  <si>
    <t>WOS:000242830300003</t>
  </si>
  <si>
    <t>Jackson, GD; Wotherspoon, S; Jackson, CH</t>
  </si>
  <si>
    <t>Jackson, George D.; Wotherspoon, Simon; Jackson, Christine H.</t>
  </si>
  <si>
    <t>Temporal life history plasticity of the Southern Ocean squid Todarodes filippovae from waters off Tasmania, Australia</t>
  </si>
  <si>
    <t>NEON FLYING SQUID; OMMASTREPHES-BARTRAMII; POPULATION-STRUCTURE; NOTOTODARUS-GOULDI; NEW-ZEALAND; GROWTH; CEPHALOPODA; TEMPERATURE; AGE; OCEANOGRAPHY</t>
  </si>
  <si>
    <t>Population dynamics and maturity parameters were analysed for seasonal samples of the oceanic ommastrephid squid Todarodes filippovae from off the coast of Tasmania Australia from 2002 to 2004. Based on assumed daily periodicity in statolith increments, T. filippovae had a life cycle of about a year with the sexually dimorphic females reaching their larger size by predominantly growing faster than males. Due to the small sample size of males, analysis was undertaken on female individuals only. Growth in all samples was best described by a power curve and varied annually, with significantly faster growth in 2001 compared to the subsequent 2 years. Seasonal growth rates also varied with autumn- and winter-hatched squid significantly faster than summer-hatched squid. Spring growth rates were intermediate but not significantly different to the other three seasons. Peak hatching periods occurred in late autumn and early winter. ANOVA revealed a season x year interaction for mantle length and total body weight. Pairwise comparisons showed that the annual differences were likely driven by smaller squid in autumn 2002 compared to autumn samples in the other 2 years. Pairwise comparisons also revealed seasonal differences with winter-caught squid smaller than those from the majority of other samples. There were no seasonal effects on mature female gonad weights but females caught in 2002 had significantly lighter gonad weights than females from the following 2 years. There were no consistent trends among seasons or years in the age structure of mature females. This study revealed the plasticity and flexibility in growth and maturity parameters in this species, with a preference for faster growth during cooler periods.</t>
  </si>
  <si>
    <t>Univ Tasmania, Inst Antarctic &amp; So Ocean Studies, Hobart, Tas 7001, Australia; Univ Tasmania, Sch Math &amp; Phys, Hobart, Tas 7001, Australia</t>
  </si>
  <si>
    <t>Jackson, GD (corresponding author), Univ Tasmania, Inst Antarctic &amp; So Ocean Studies, Private Bag 77, Hobart, Tas 7001, Australia.</t>
  </si>
  <si>
    <t>george.jackson@utas.edu.au</t>
  </si>
  <si>
    <t>Wotherspoon, Simon J/B-2390-2013; Jackson, George D/AAI-7315-2021</t>
  </si>
  <si>
    <t>Wotherspoon, Simon J/0000-0002-6947-4445;</t>
  </si>
  <si>
    <t>10.1007/s00227-006-0374-5</t>
  </si>
  <si>
    <t>WOS:000242830300005</t>
  </si>
  <si>
    <t>Jones, DOB; Bett, BJ; Tyler, PA</t>
  </si>
  <si>
    <t>Jones, Daniel O. B.; Bett, Brian J.; Tyler, Paul A.</t>
  </si>
  <si>
    <t>Depth-related changes in the arctic epibenthic megafaunal assemblages of Kangerdlugssuaq, East Greenland</t>
  </si>
  <si>
    <t>MARINE BIOLOGY RESEARCH</t>
  </si>
  <si>
    <t>arctic; density; diversity; ecology; Greenland; photographic</t>
  </si>
  <si>
    <t>NORTHEAST WATER POLYNYA; SPECIES-DIVERSITY; BENTHIC COMMUNITIES; CONTINENTAL-MARGIN; ANTARCTIC BENTHOS; SEA-FLOOR; ABUNDANCE; ATLANTIC; SHELF; ICE</t>
  </si>
  <si>
    <t>The effects of depth- related differences in environmental factors ( pressure, hydrography, habitat and disturbance) on the benthic megafauna at the mouth of Kangerdlugssuaq Fjord in Arctic Greenland were investigated using a towed camera platform and autonomous underwater vehicle photographs. Large reductions in faunal density ( 60,132 to 1881 individuals ha (-1)) and increases in diversity ( H' = 0.93 - 2.54), through increases in richness ( ES( 220) = 7.6 - 18.8) and reductions in dominance ( Berger - Parker index = 0.77 - 0.38) were found between 270 and 720 m water depth. Assemblages were separated into distinct shallow, intermediate and deep faunas by multivariate community analysis. In the shallower sites there were high levels of iceberg disturbance, directly reducing diversity as well as creating a complex, patchy environment inhabited by high densities of mobile suspension- feeding epifauna. In the deeper areas there was small- scale disturbance from the deposition of drop stones, but at a relatively low frequency and magnitude, which allowed increased species diversity. Proportions of deposit- feeding epifaunal and infaunal taxa rose with depth, as indicated by an increase with depth in faunal traces. Decreases in faunal density probably resulted from decreased food supply with depth.</t>
  </si>
  <si>
    <t>Natl Oceanog Ctr, DEEPSEAS Grp, Southampton SO14 3ZH, Hants, England</t>
  </si>
  <si>
    <t>Jones, DOB (corresponding author), Natl Oceanog Ctr, DEEPSEAS Grp, Southampton SO14 3ZH, Hants, England.</t>
  </si>
  <si>
    <t>dj1@noc.soton.ac.uk</t>
  </si>
  <si>
    <t>Jones, Daniel/A-3412-2009</t>
  </si>
  <si>
    <t>Jones, Daniel/0000-0001-5218-1649</t>
  </si>
  <si>
    <t>TAYLOR &amp; FRANCIS AS</t>
  </si>
  <si>
    <t>OSLO</t>
  </si>
  <si>
    <t>KARL JOHANS GATE 5, NO-0154 OSLO, NORWAY</t>
  </si>
  <si>
    <t>1745-1000</t>
  </si>
  <si>
    <t>1745-1019</t>
  </si>
  <si>
    <t>MAR BIOL RES</t>
  </si>
  <si>
    <t>Mar. Biol. Res.</t>
  </si>
  <si>
    <t>10.1080/17451000701455287</t>
  </si>
  <si>
    <t>Ecology; Marine &amp; Freshwater Biology</t>
  </si>
  <si>
    <t>218JF</t>
  </si>
  <si>
    <t>WOS:000250011100002</t>
  </si>
  <si>
    <t>Thurber, AR</t>
  </si>
  <si>
    <t>Thurber, Andrew R.</t>
  </si>
  <si>
    <t>Diets of Antarctic sponges: links between the pelagic microbial loop and benthic metazoan food web</t>
  </si>
  <si>
    <t>MARINE ECOLOGY PROGRESS SERIES</t>
  </si>
  <si>
    <t>bentho-pelagic coupling; fatty acid analysis; sponge diet; Antarctica; stable isotope; Delta(13)C; Delta(15)N; porifera</t>
  </si>
  <si>
    <t>FATTY-ACIDS; SOUTHERN-OCEAN; PHAEOCYSTIS-POUCHETII; SEA; DELTA-N-15; DELTA-C-13; SEWAGE; CARBON; BACTERIOPLANKTON; STRATEGIES</t>
  </si>
  <si>
    <t>Antarctic benthic suspension feeders may consume water column bacteria to buffer the seasonal variation of primary production, yet little is known about consumption of ultraplankton by this fauna. In the present study 3 experiments-fatty acid analysis, stable isotope concentrations, and laboratory-based feeding-addressed the nutritional role of the microbial loop in 4 species of Antarctic sponge: Homaxinella balfourensis, Isodictya setifera, Kirkpatrickia variolosa, and Sphaerotylus antarcticus. Sponges were sampled at distances between 115 and 840 m from the McMurdo Station sewage outfall to investigate local food source variability. The sewage effluent acted as a tracer for particulates larger than bacteria and was identified isotopically and by the biomarker 18:2(n-6). Sponge diets differed between each species: L setifera consumed mostly bacteria, as indicated by the ratio of bacterial fatty acids to polyunsaturated fatty acids; H. balfourensis consumed larger particles, indicated by an abundance of 22:6(n-3) and an outfall signature; K variolosa was intermediate between these two, with abundant 22:6(n-3), but an isotopic signature similar to L setifera. The diet of S. antarcticus was not completely resolved; fatty acid analysis supported its similarity to K, variolosa, yet the isotopic analysis separated it from the other sponges, suggesting that symbionts were abundant enough to confound the results. This study provides the first application of fatty acid analysis to determine diet composition of sponges, the first species-specific stable isotopic analysis of Antarctic sponges, and the first conclusive evidence of differential utilization of microbial loop components by co-occurring sponges.</t>
  </si>
  <si>
    <t>[Thurber, Andrew R.] Moss Landing Marine Labs, Moss Landing, CA 95039 USA</t>
  </si>
  <si>
    <t>Thurber, AR (corresponding author), Univ Calif San Diego, Scripps Inst Oceanog, Integrat Oceanog Div, 9500 Gilman Dr, La Jolla, CA 92093 USA.</t>
  </si>
  <si>
    <t>athurber@ucsd.edu</t>
  </si>
  <si>
    <t>0171-8630</t>
  </si>
  <si>
    <t>MAR ECOL PROG SER</t>
  </si>
  <si>
    <t>Mar. Ecol.-Prog. Ser.</t>
  </si>
  <si>
    <t>10.3354/meps07122</t>
  </si>
  <si>
    <t>Ecology; Marine &amp; Freshwater Biology; Oceanography</t>
  </si>
  <si>
    <t>Environmental Sciences &amp; Ecology; Marine &amp; Freshwater Biology; Oceanography</t>
  </si>
  <si>
    <t>247FV</t>
  </si>
  <si>
    <t>WOS:000252064100007</t>
  </si>
  <si>
    <t>Ashford, JR; Arkhipkin, AI; Jones, CM</t>
  </si>
  <si>
    <t>Ashford, J. R.; Arkhipkin, A. I.; Jones, C. M.</t>
  </si>
  <si>
    <t>Otolith chemistry reflects frontal systems in the Antarctic Circumpolar Current</t>
  </si>
  <si>
    <t>otoliths; spatial ecology; fishery; laser-ICPMS; Patagonian toothfish; Southern Ocean</t>
  </si>
  <si>
    <t>TOOTHFISH DISSOSTICHUS-ELEGINOIDES; PATAGONIAN TOOTHFISH; POPULATION-STRUCTURE; FISH; LARVAL; OCEAN; SEA; MANGANESE; ATLANTIC; ZONATION</t>
  </si>
  <si>
    <t>Pronounced environmental trends across fronts suggest that the otolith chemistry of oceanic fish can resolve zones on either side, promoting application to population questions at similar spatial scales. Trace and minor elements laid down immediately prior to capture-along the edges of otoliths from Patagonian toothfish Dissostichus eleginoides- discriminated frontal zones in the Antarctic Circumpolar Current in the Southwestern Atlantic Ocean. Mean values differentiated sampling areas by up to 2.6 standard deviations, suggesting: (1) otolith Mg/Ca enrichment related to fish activity around the Burdwood Bank; (2) Mn/Ca enrichment associated with South America; (3) Sr/Ca linked to the presence of Circumpolar Deep Water; and (4) Ba/Ca to nutrient production and mixing. In the Polar Frontal Zone, meanders or eddies may account for affinities with neighbouring sampling areas, bringing water from the Subantarctic and Antarctic Zones onto the North Scotia Ridge. Moreover, fish age showed a significant relationship with depth and improved cross-validation by 14%, giving 85% classification rates to South American and Antarctic regions, and 57 to 83% to areas along the Patagonian Shelf. These results indicate that otolith chemistry reflects hydrography, detecting oceanic gradients across the slope of continental shelves and between zones separated by strong trends like fronts.</t>
  </si>
  <si>
    <t>[Ashford, J. R.; Jones, C. M.] Old Dominion Univ, Ctr Quantitat Fisheries Ecol, Norfolk, VA 23529 USA</t>
  </si>
  <si>
    <t>Ashford, JR (corresponding author), Old Dominion Univ, Ctr Quantitat Fisheries Ecol, 800 W 46th St, Norfolk, VA 23529 USA.</t>
  </si>
  <si>
    <t>jashford@odu.edu</t>
  </si>
  <si>
    <t>1616-1599</t>
  </si>
  <si>
    <t>10.3354/meps07153</t>
  </si>
  <si>
    <t>Bronze, Green Accepted, Green Submitted</t>
  </si>
  <si>
    <t>WOS:000252064100021</t>
  </si>
  <si>
    <t>Smale, DA</t>
  </si>
  <si>
    <t>Smale, Dan A.</t>
  </si>
  <si>
    <t>Ice disturbance intensity structures benthic communities in nearshore Antarctic waters</t>
  </si>
  <si>
    <t>ice scouring; community structure; Antarctica; Polar benthos</t>
  </si>
  <si>
    <t>SUBLITTORAL EPIFAUNAL COMMUNITIES; KING GEORGE ISLAND; SIGNY ISLAND; POPULATION-STRUCTURE; SPECIES-DIVERSITY; ADELAIDE ISLAND; FOOT ZONE; SCOUR; COLONIZATION; BIODIVERSITY</t>
  </si>
  <si>
    <t>Ice scouring is one of the 5 most significant natural forces acting on ecosystems, yet very few data exist linking the intensity of ice disturbance with parameters of benthic community structure. The benthos at 2 nearshore sites on Adelaide Island, Antarctica, was sampled at 3 resolutions to make novel links between biological data and empirical disturbance data from the literature. A total of 125 taxa and &gt; 70 000 individuals were recorded. A total of 8 parameters of community structure were measured; all of them were negatively correlated to disturbance intensity at one site, whilst 6 significant relationships were found at the other site. At 2 of the 3 sampling resolutions, disturbance, rather than depth or the percentage cover of major substratum types, was the environmental variable most correlated with the patterns in community structure. Furthermore, biological samples were divided into 3 categories based on the disturbance data (low, moderate and high). Each group was statistically dissimilar and the relative abundance of sessile fauna decreased as disturbance intensity increased. The intensity of disturbance was broadly correlated with depth, but small-scale differences in topography and substratum type created small-scale refugia, which supported richer assemblages. Overall, both study sites were disturbed frequently and no evidence of a peak in richness at the moderately disturbed locations was recorded.</t>
  </si>
  <si>
    <t>[Smale, Dan A.] British Antarctic Survey, NERC, Cambridge CB3 0ET, England</t>
  </si>
  <si>
    <t>Smale, DA (corresponding author), British Antarctic Survey, NERC, High Cross,Madingley Rd, Cambridge CB3 0ET, England.</t>
  </si>
  <si>
    <t>dasma@bas.ac.uk</t>
  </si>
  <si>
    <t>Smale, Daniel/Y-2909-2019; Smale, Dan A/B-3240-2011</t>
  </si>
  <si>
    <t>Smale, Daniel/0000-0003-4157-541X;</t>
  </si>
  <si>
    <t>NERC [dml011000, bas010015] Funding Source: UKRI; Natural Environment Research Council [dml011000, bas010015] Funding Source: researchfish</t>
  </si>
  <si>
    <t>10.3354/meps07104</t>
  </si>
  <si>
    <t>240CU</t>
  </si>
  <si>
    <t>WOS:000251565400009</t>
  </si>
  <si>
    <t>Cubillos, JC; Wright, SW; Nash, G; de Salas, MF; Griffiths, B; Tilbrook, B; Poisson, A; Hallegraeff, GM</t>
  </si>
  <si>
    <t>Cubillos, J. C.; Wright, S. W.; Nash, G.; de Salas, M. F.; Griffiths, B.; Tilbrook, B.; Poisson, A.; Hallegraeff, G. M.</t>
  </si>
  <si>
    <t>Calcification morphotypes of the coccolithophorid Emiliania huxleyi in the Southern Ocean:: changes in 2001 to 2006 compared to historical data</t>
  </si>
  <si>
    <t>Southern Ocean; Emiliania huxleyi; calcite saturation state; ocean acidification</t>
  </si>
  <si>
    <t>CALCAREOUS NANNOPLANKTON; PRYMNESIOPHYCEAE; POPULATIONS; HAPTOPHYTA; SEA</t>
  </si>
  <si>
    <t>We conducted a scanning electron microscopic survey of morphological variations in the calcareous nanoplankton species Emiliania huxleyi in Southern Ocean surface water samples collected along a transect from 43 to 64 degrees S and 141 to 145 degrees E during November 2001, October to February 2002/2003, 2003/2004, 2004/2005 and 2005/2006. The results were compared with historical data from a similar transect occupied in December to January 1983/1984 and January to February 1994 and 1995. While E. huxleyi was absent or extremely sparse (0.1 to 1 cells ml(-1)) south of 60 degrees S in 1983/1984 and 1994/1995, this species was consistently present at about 100 cells ml(-1) between 60 and 65 degrees S during 2002 to 2006. The extended geographic range and/or increased southward abundance of this keystone species suggests a significant shift in Southern Ocean ecology over the past 2 decades, analogous to an observed recent range extension into the Bering Sea. Morphotype A 'overcalcified' mainly occurred north of the Subantarctic Front and was replaced by the weakly calcified Morphotype B/C between the Subantarctic Front and Southern Antarctic Circumpolar Current Front. This north-south shift in E. huxleyi calcification morphotypes closely tracked the north-south decline in the calcite saturation state as calculated from carbonate system measurements. Based on current evidence, no significant changes are apparent in the calcification status of E. huxleyi in the Southern Ocean during the past 12 yr. All cultured isolates from north of the Polar Front belonged to Morphotype A, while all strains isolated south of the Polar Front belonged to Morphotype B/C and their morphologies appeared conservative in culture. The north-south trend of decreased calcification of E. huxleyi in the Southern Ocean thus reflects the shift in dominance of one ecotype to another, rather than the environmental effect of decreased carbonatre ion concentrations and calcite saturation state on a single, 'apparently cosmopolitan', population.</t>
  </si>
  <si>
    <t>Univ Tasmania, Sch Plant Sci, Hobart, Tas 7001, Australia; Australian Antarctic Div, Kingston, Tas 7050, Australia; Univ Tasmania, Antarctic Climate &amp; Ecosyst Cooperat Res Ctr, Hobart, Tas 7001, Australia</t>
  </si>
  <si>
    <t>University of Tasmania; Australian Antarctic Division; Antarctic Climate &amp; Ecosystems Cooperative Research Centre (ACE CRC); University of Tasmania</t>
  </si>
  <si>
    <t>Hallegraeff, GM (corresponding author), Univ Tasmania, Sch Plant Sci, Private Bag 55, Hobart, Tas 7001, Australia.</t>
  </si>
  <si>
    <t>hallegraeff@utas.edu.au</t>
  </si>
  <si>
    <t>Tilbrook, Bronte/W-4007-2019; Hallegraeff, Gustaaf/C-8351-2013</t>
  </si>
  <si>
    <t>Tilbrook, Bronte/0000-0001-9385-3827; Hallegraeff, Gustaaf/0000-0001-8464-7343</t>
  </si>
  <si>
    <t>10.3354/meps07058</t>
  </si>
  <si>
    <t>234ZO</t>
  </si>
  <si>
    <t>WOS:000251203500004</t>
  </si>
  <si>
    <t>Simmons, SE; Crocker, DE; Kudela, RM; Costa, DP</t>
  </si>
  <si>
    <t>Simmons, Samantha E.; Crocker, Daniel E.; Kudela, Raphael M.; Costa, Daniel P.</t>
  </si>
  <si>
    <t>Linking foraging behaviour of the northern elephant seal with oceanography and bathymetry at mesoscales</t>
  </si>
  <si>
    <t>mirounga angustirostris; temperature; benthic; mesoscale; eddies; sex</t>
  </si>
  <si>
    <t>ANTARCTIC FUR SEALS; MIROUNGA-LEONINA; HAIDA EDDIES; WATER TEMPERATURE; DIVING BEHAVIOR; SURFACE TEMPERATURES; SOUTHERN-OCEAN; PACIFIC-OCEAN; GRAY SEALS; EL-NINO</t>
  </si>
  <si>
    <t>We examined the foraging behaviour of 12 adult female northern elephant seals in relation to mesoscale oceanographic features between 1995 and 1997. Females were divided into 3 groups based on the geographic region to which they migrated ('coastal', 'coastal-oceanic' and 'oceanic'). We defined focal foraging areas (FFAs) using satellite telemetry and average daily transit rates of &lt;= 0.4 m s(-1), and examined characteristics of FFAs with respect to sea surface temperature (SST), sea surface temperature gradient (SSTg), sea level anomaly (SLA) and bathymetry using logistic regression models. Shallow bathymetry was significant for the coastal grouping of females and we examined the prevalence of benthic dives using a dive index ratio (DI), calculated by dividing mean maximum dive depth (m) by ocean depth (m) at each location for all 12 females. An additional 6 adult males were included in this analysis to quantify and elucidate differences in benthic foraging mode between the sexes. DI comparisons revealed significantly greater prevalence of benthic diving in FFAs in males than females (chi(2) = 10.588, p &lt; 0.01). However, one coastal female did show a higher occurrence of benthic dives in FFAs than other females, and had significantly greater rates of mass gain. The importance of each oceanographic variable differed between the 3 groups of females, Overall, model results showed SST to be the most influential factor related to FFAs. Additionally, 6 females had FFAs that were characterised by greater SSTg and higher SLA. These characteristics are consistent with anti-cyclonic eddies that occur throughout the range of elephant seals. Semipermanent eddies, such as the Haida and Sitka eddies of the Alaska gyre, may be particularly important in determining FFAs for some female northern elephant seals.</t>
  </si>
  <si>
    <t>Univ Calif Santa Cruz, Dept Ecol &amp; Evolutionary Biol, Ctr Ocean Hlth, Santa Cruz, CA 95060 USA; Sonoma State Univ, Dept Biol, Rohnert Pk, CA 94928 USA; Univ Calif Santa Cruz, Dept Ocean Sci, Santa Cruz, CA 95064 USA</t>
  </si>
  <si>
    <t>University of California System; University of California Santa Cruz; California State University System; Sonoma State University; University of California System; University of California Santa Cruz</t>
  </si>
  <si>
    <t>Simmons, SE (corresponding author), Univ Calif Santa Cruz, Dept Ecol &amp; Evolutionary Biol, Ctr Ocean Hlth, 100 Shafier Rd, Santa Cruz, CA 95060 USA.</t>
  </si>
  <si>
    <t>simmons@biology.ucsc.edu</t>
  </si>
  <si>
    <t>Carlos, Universidade Federal de São/W-8832-2019; Costa, Daniel Paul/E-2616-2013</t>
  </si>
  <si>
    <t>Carlos, Universidade Federal de São/0000-0002-0334-3899; Simmons, Samantha/0000-0003-0326-6990; Costa, Daniel Paul/0000-0002-0233-5782</t>
  </si>
  <si>
    <t>10.3354/meps07014</t>
  </si>
  <si>
    <t>224UO</t>
  </si>
  <si>
    <t>WOS:000250472300021</t>
  </si>
  <si>
    <t>Green, JA; Boyd, IL; Woakes, AJ; Green, CJ; Butler, PJ</t>
  </si>
  <si>
    <t>Green, J. A.; Boyd, I. L.; Woakes, A. J.; Green, C. J.; Butler, P. J.</t>
  </si>
  <si>
    <t>Feeding, fasting and foraging success during chick rearing in macaroni penguins</t>
  </si>
  <si>
    <t>penguin; antarctic krill; foraging; CPUE; energetics; diving; breeding</t>
  </si>
  <si>
    <t>SOUTH-GEORGIA; EUDYPTES-CHRYSOLOPHUS; ANTARCTIC KRILL; ADELIE PENGUINS; BODY CONDITION; HEART-RATE; PROVISIONING STRATEGIES; ENERGY-REQUIREMENTS; EUPHAUSIA-SUPERBA; GREAT CORMORANTS</t>
  </si>
  <si>
    <t>Foraging behaviour and energy expenditure were measured continuously throughout the chick-rearing period of free-ranging macaroni penguins Eudyptes chrysolophus. These data were integrated with values obtained from the literature on body mass, assimilation efficiency, body reserve consumption and deposition rates, chick growth and energy expenditure and energy content of food in a new type of algorithm to predict (with 95% confidence limits [CL]) foraging success and daily changes in body mass. A successfully breeding pair of macaroni penguins will capture 111.7 kg (95% CL: 79.4 to 158.0 kg) of prey during the chick-rearing period. The crucial phase of the chick rearing period was around the time that chicks creche, when prey consumption rates more than doubled as the male assisted in foraging and recovered from a long fast. Female macaroni penguins extracted 2.28 (1.60 to 3.26) and males extracted 2.84 (2.02 to 3.99) g of prey from their environment for every minute spent submerged during foraging. Only 15.3 (14.7 to 15.6)% of all prey consumed was fed to chicks. While food capture rates increase in the middle of the breeding season, this may be more a function of greater food availability than a response to demands from their chick. Male and female macaroni penguins have differing breeding strategies with the male showing the characteristics of a capital then income breeder while the female has a strategy that shows characteristics of both capital and income strategies simultaneously. The high synchronicity and precise timing of the macaroni penguin breeding season and timing of the increase in prey capture rates suggest an influx of prey to their foraging area during the middle of the breeding season. A depletion of prey resources in the foraging area used during the breeding season could affect foraging success and have profound effects on the body condition and composition of this species and its ability to raise chicks successfully.</t>
  </si>
  <si>
    <t>La Trobe Univ, Dept Zool, Melbourne, Vic 3070, Australia; Univ St Andrews, Sea Mammal Res Unit, Gatty Marine Lab, St Andrews KY16 8LB, Fife, Scotland; Univ Birmingham, Sch Biosci, Ctr Ornithol, Birmingham B15 2TT, W Midlands, England; British Antarctic Survey, Cambridge CB3 0ET, England</t>
  </si>
  <si>
    <t>La Trobe University; University of St Andrews; University of Birmingham; UK Research &amp; Innovation (UKRI); Natural Environment Research Council (NERC); NERC British Antarctic Survey</t>
  </si>
  <si>
    <t>Green, JA (corresponding author), La Trobe Univ, Dept Zool, Melbourne, Vic 3070, Australia.</t>
  </si>
  <si>
    <t>jon.green@latrobe.edu.au</t>
  </si>
  <si>
    <t>Woakes, Anthony/JYD-0387-2024; Green, Jonathan A/B-8799-2011</t>
  </si>
  <si>
    <t>Green, Jonathan A/0000-0001-8692-0163</t>
  </si>
  <si>
    <t>NERC [bas010017] Funding Source: UKRI; Natural Environment Research Council [bas010017] Funding Source: researchfish</t>
  </si>
  <si>
    <t>10.3354/meps07024</t>
  </si>
  <si>
    <t>Bronze, Green Accepted</t>
  </si>
  <si>
    <t>WOS:000250472300024</t>
  </si>
  <si>
    <t>Kawaguchi, S; Finley, LA; Jarman, S; Candy, SG; Ross, RM; Quetin, LB; Siegel, V; Trivelpiece, W; Naganobu, M; Nicol, S</t>
  </si>
  <si>
    <t>Kawaguchi, So; Finley, Luke A.; Jarman, Simon; Candy, Steven G.; Ross, Robin M.; Quetin, Langdon B.; Siegel, Volker; Trivelpiece, Wayne; Naganobu, Mikio; Nicol, Stephen</t>
  </si>
  <si>
    <t>Male krill grow fast and die young</t>
  </si>
  <si>
    <t>Euphausia superba; sex ratio; proportion of males; lifespan; mortality; longevity; recruitment; length-frequency distribution</t>
  </si>
  <si>
    <t>EUPHAUSIA-SUPERBA DANA; ANTARCTIC KRILL; SEA-ICE; MODELING GROWTH; POPULATION; RECRUITMENT; CRUSTACEA; ABUNDANCE; MATURITY; LENGTH</t>
  </si>
  <si>
    <t>The size-differentiated sex ratio (proportion of males, PM) of Antarctic krill Euphausia superba was examined with an extensive dataset derived from scientific surveys in the Indian Ocean sector and the southwest Atlantic sector, and from the krill fishery in the Southern Ocean. The percentage of males in size classes of adult krill was generally high in krill of 30 to 35 mm total length, always low in 38 to 42 mm. krill, sometimes showed higher values in 45 to 50 rum krill, but always decreased in the largest krill (&gt; 50 mm). This pattern was reproduced by a model simulation that assumed faster growth and a shorter lifespan for males when compared to females. These results suggest that the numbers of males should decline with time unless new recruits enter the population. Indeed, interannual variations in PM from the field (net collected data and penguin diet data) showed a decline in the proportion of males when several years of low recruitment followed a recruitment pulse. These results lead us to conclude that male krill grow faster and have a shorter lifespan than females in the natural environment.</t>
  </si>
  <si>
    <t>Australian Antarctic Div, Dept Environm &amp; Water Resources, Kingston, Tas 7050, Australia; Univ Melbourne, Dept Zool, Melbourne, Vic 3010, Australia; Univ Calif Santa Barbara, Inst Marine Sci, Santa Barbara, CA 93106 USA; Sea Fisheries Res Inst, D-22767 Hamburg, Germany; US AMLR Program, SW Fisheries Sci Ctr, La Jolla, CA 92037 USA; Natl Res Inst Far Seas Fisheries, Yokohama, Kanagawa 2368648, Japan</t>
  </si>
  <si>
    <t>Australian Antarctic Division; University of Melbourne; Melbourne Bioinformatics; University of California System; University of California Santa Barbara; National Oceanic Atmospheric Admin (NOAA) - USA; Japan Fisheries Research &amp; Education Agency (FRA)</t>
  </si>
  <si>
    <t>Kawaguchi, S (corresponding author), Australian Antarctic Div, Dept Environm &amp; Water Resources, 203 Channel Highway, Kingston, Tas 7050, Australia.</t>
  </si>
  <si>
    <t>so.kawaguchi@aad.gov.au</t>
  </si>
  <si>
    <t>Kawaguchi, So/N-1795-2017; Jarman, Simon/H-9265-2016</t>
  </si>
  <si>
    <t>Jarman, Simon/0000-0002-0792-9686; Kawaguchi, So/0000-0002-2042-5095</t>
  </si>
  <si>
    <t>10.3354/meps06934</t>
  </si>
  <si>
    <t>220ZK</t>
  </si>
  <si>
    <t>WOS:000250195800017</t>
  </si>
  <si>
    <t>Fox, CJ; Geffen, AJ; Taylor, N; Davison, P; Rossetti, H; Nash, RDM</t>
  </si>
  <si>
    <t>Fox, Clive J.; Geffen, Audrey J.; Taylor, Natasha; Davison, Phil; Rossetti, Helen; Nash, Richard D. M.</t>
  </si>
  <si>
    <t>Birth-date selection in early life stages of plaice Pleuronectes platessa in the eastern Irish Sea (British Isles)</t>
  </si>
  <si>
    <t>plaice; eggs; larvae; spawning; survival; selective mortality; Otolith microstructure</t>
  </si>
  <si>
    <t>WESTERN WADDEN SEA; HERRING CLUPEA-HARENGUS; SCOPHTHALMUS-MAXIMUS L; LIMANDA-LIMANDA L; COD GADUS-MORHUA; OTOLITH MICROSTRUCTURE ANALYSIS; SOLEA-SOLEA L.; NORTH-SEA; 0-GROUP PLAICE; MORTALITY-RATES</t>
  </si>
  <si>
    <t>For species with extended spawning seasons, short periods of beneficial conditions often lead to disproportionate survival of sub-sets of the offspring. This has been demonstrated for freshwater fish and for marine pelagic species, but has been less frequently tested for other teleost groups. Using offshore plankton surveys, we constructed egg production curves for plaice Pleuronectes platessa L. in the eastern Irish Sea. Data from 5 yr showed that spawning began sometime before January and was completed by the end of April. Over these years the timing of peak spawning varied between mid-February and mid-March. In 2001, 2002 and 2003, we also sampled post-settlement plaice from inshore nursery grounds. Otolith micro-increment analyses and temperature-dependent egg development rates were used to back-calculate the birth dates of the settled fish. By June, immigration to the nursery grounds was largely completed and the shape of the reconstructed birth-date distributions corresponded closely to the relevant egg production curves. In contrast to many other studies, there was little evidence for significantly disproportionate survival of specific portions of the egg production curve between spawning and the recently post-settled stages. Such a survival pattern could be generated by a gradual switch from starvation to predation as the principal cause of larval mortality as the spawning season progressed.</t>
  </si>
  <si>
    <t>Cefas, Lowestoft NR33 0HT, Suffolk, England; Univ Liverpool, Port Erin Marine Lab, Liverpool L69 3BX, Merseyside, England; Univ Bergen, Dept Biol, N-5020 Bergen, Norway; British Antarctic Survey, Cambridge CB3 0ET, England; Marine Res Inst, N-5817 Bergen, Norway</t>
  </si>
  <si>
    <t>Centre for Environment Fisheries &amp; Aquaculture Science; University of Liverpool; University of Bergen; UK Research &amp; Innovation (UKRI); Natural Environment Research Council (NERC); NERC British Antarctic Survey; Institute of Marine Research - Norway</t>
  </si>
  <si>
    <t>Fox, CJ (corresponding author), Scottish Assoc Marine Sci, Oban PA37 1QA, Argyll, Scotland.</t>
  </si>
  <si>
    <t>clive.fox@sams.ac.uk</t>
  </si>
  <si>
    <t>Geffen, Audrey J/H-4426-2013; Fox, Clive/C-5935-2012</t>
  </si>
  <si>
    <t>Geffen, Audrey J/0000-0002-6946-5282; Nash, Richard/0000-0003-0958-149X</t>
  </si>
  <si>
    <t>10.3354/meps06967</t>
  </si>
  <si>
    <t>WOS:000250195800022</t>
  </si>
  <si>
    <t>Phillips, RA; Catry, P; Silk, JRD; Bearhop, S; McGill, R; Afanasyev, V; Strange, IJ</t>
  </si>
  <si>
    <t>Phillips, R. A.; Catry, P.; Silk, J. R. D.; Bearhop, S.; McGill, R.; Afanasyev, V.; Strange, I. J.</t>
  </si>
  <si>
    <t>Movements, winter distribution and activity patterns of Falkland and brown skuas: insights from loggers and isotopes</t>
  </si>
  <si>
    <t>foraging behaviour; habitat preferences; niche specialisation; migration; spatial segregation; site fidelity</t>
  </si>
  <si>
    <t>SEXUAL SIZE DIMORPHISM; ADULT GREAT SKUAS; CATHARACTA-ANTARCTICA; FORAGING BEHAVIOR; SOUTH-GEORGIA; ALBATROSSES; DIET; FISHERIES; SEABIRDS; STRATEGIES</t>
  </si>
  <si>
    <t>In the first published study of the wintering ranges and activity patterns of skuas from any colony, we combined tracking (geolocator) and stable isotope analysis in a comparison of migration behaviour of brown skuas Catharacta lonnbergi and Falkland skuas C. antarctica from South Georgia and the Falkland Islands, respectively. Brown skuas, particularly failed breeders, departed and returned to the colony much earlier than Falkland skuas, and 2 of 3 brown skuas performed a pre-laying exodus. During winter, brown skuas were distributed widely over deep, oceanic water within the Argentine Basin (37 to 52 degrees S) between the Antarctic Polar Front and the northern sub-tropical Front. Falkland skuas, by comparison, wintered mainly in subantarctic waters around the central Patagonian shelf-break (40 to 52 degrees S). Much greater overlap existed among core areas within than between species, and sex did not influence distribution. The partial inter-specific spatial segregation was also reflected in a divergence in activity patterns, with brown skuas in flight for a greater proportion, and more time on average, during both daylight and darkness. Both species of skua spent far more time on the water than do foraging albatrosses, and there was limited overlap between their nonbreeding distributions and those of large procellariids from the same archipelagos. Stable isotope signatures of brown skua feathers indicated that distributions of tracked birds were typical of most or all of the breeding population, and were consistent from year to year. None was characteristic of species that winter on adjacent continental shelves or off south-west Europe. Isotope values also suggested a mixed diet for brown skuas of zooplankton, low trophic-level squid and fish, with little or no reliance on seabird predation or fisheries.</t>
  </si>
  <si>
    <t>British Antarctic Survey, NERC, Cambridge CB3 0ET, England; Inst Super Psicol Aplicada, P-1149 Lisbon, Portugal; Queens Univ Belfast, Quercus Sch Biol Biochem, MBC, Belfast BT9 7BL, Antrim, North Ireland; Scottish Univ Environm Res Ctr, E Kilbride G75 0QF, Lanark, Scotland; New Isl Conservat Trust, Stanley, Falkland Isl, England</t>
  </si>
  <si>
    <t>UK Research &amp; Innovation (UKRI); Natural Environment Research Council (NERC); NERC British Antarctic Survey; Instituto Superior Psicologia Aplicada (ISPA); Queens University Belfast; Scottish Universities Research &amp; Reactor Center</t>
  </si>
  <si>
    <t>Phillips, RA (corresponding author), British Antarctic Survey, NERC, High Cross,Madingly Rd, Cambridge CB3 0ET, England.</t>
  </si>
  <si>
    <t>raphil@bas.ac.uk</t>
  </si>
  <si>
    <t>McGill, Rona/JAC-6969-2023; McGill, Rona/F-1793-2010; Catry, Paulo/I-5408-2013; Bearhop, Stuart/G-3105-2012</t>
  </si>
  <si>
    <t>McGill, Rona/0000-0003-0400-7288; Catry, Paulo/0000-0003-3000-0522; Bearhop, Stuart/0000-0002-5864-0129</t>
  </si>
  <si>
    <t>10.3354/meps06991</t>
  </si>
  <si>
    <t>Green Accepted, Bronze, Green Submitted</t>
  </si>
  <si>
    <t>WOS:000250195800024</t>
  </si>
  <si>
    <t>Post, AL; Hemer, MA; O'Brien, PE; Roberts, D; Craven, M</t>
  </si>
  <si>
    <t>Post, Alexandra L.; Hemer, Mark A.; O'Brien, Philip E.; Roberts, Donna; Craven, Mike</t>
  </si>
  <si>
    <t>History of benthic colonisation beneath the Amery Ice Shelf, East Antarctica</t>
  </si>
  <si>
    <t>ice shelf; succession; holocene; benthic fauna; microfossil</t>
  </si>
  <si>
    <t>PRYDZ BAY; ROSS-SEA; MASS-BALANCE; WEDDELL SEA; COMMUNITIES; SEDIMENTS; BOTTOM; IMPACT; SHEET; POLYCHAETE</t>
  </si>
  <si>
    <t>This study presents compelling evidence for a diverse and abundant seabed community that developed over the course of the Holocene beneath the Amery Ice Shelf, East Antarctica. Fossil analysis of a 47 cm long sediment core revealed a rich modern fauna dominated by filter feeders (sponges and bryozoans). The down-core assemblage indicated a succession in the colonisation of this site. The lower portion of the core (before similar to 9600 yr BP) was completely devoid of preserved fauna. The first colonisers (at similar to 10 200 yr BP) were mobile benthic organisms. Their occurrence was matched by the first appearance of planktonic taxa, indicating a retreat of the ice shelf following the last glaciation to within sufficient distance to advect planktonic particles via bottom currents. The benthic infauna and filter feeders emerged during the peak abundance of the planktonic organisms, indicating their dependence on the food supply sourced from the open shelf waters of Prydz Bay. Understanding patterns of species succession in this environment has important implications for determining the potential significance of future ice shelf collapse.</t>
  </si>
  <si>
    <t>Geosci Australia, Marine &amp; Coastal Environm Grp, Canberra, ACT 2601, Australia; Univ Tasmania, Inst Antarctic &amp; So Ocean Studies, Hobart, Tas 7001, Australia; Ecosyst Co Operat Res Ctr, Australian Antarct Div, Hobart, Tas 7001, Australia</t>
  </si>
  <si>
    <t>Geoscience Australia; University of Tasmania; Australian Antarctic Division</t>
  </si>
  <si>
    <t>Post, AL (corresponding author), Geosci Australia, Marine &amp; Coastal Environm Grp, GPO Box 378, Canberra, ACT 2601, Australia.</t>
  </si>
  <si>
    <t>alix.post@ga.gov.au</t>
  </si>
  <si>
    <t>; Hemer, Mark/M-1905-2013</t>
  </si>
  <si>
    <t>Roberts, Donna/0000-0001-6701-6662; Hemer, Mark/0000-0002-7725-3474; O'Brien, Philip/0000-0003-3446-3292; Post, Alexandra/0000-0002-6287-3283</t>
  </si>
  <si>
    <t>10.3354/meps06966</t>
  </si>
  <si>
    <t>215NM</t>
  </si>
  <si>
    <t>WOS:000249816300003</t>
  </si>
  <si>
    <t>Ichii, T; Bengtson, JL; Boveng, PL; Takao, Y; Jansen, JK; Hiruki-Raring, LM; Cameron, MF; Okamura, H; Hayashi, T; Naganobu, M</t>
  </si>
  <si>
    <t>Ichii, Taro; Bengtson, John L.; Boveng, Peter L.; Takao, Yoshimi; Jansen, John K.; Hiruki-Raring, Lisa M.; Cameron, Michael F.; Okamura, Hiroshi; Hayashi, Tomonari; Naganobu, Mikio</t>
  </si>
  <si>
    <t>Provisioning strategies of Antarctic fur seals and chinstrap penguins produce different responses to distribution of common prey and habitat</t>
  </si>
  <si>
    <t>habitat selection; antarctic fur seals; chinstrap penguins; antarctic krill; myctophid fishes; provisioning offspring; energy-maximizer; time-minimizer</t>
  </si>
  <si>
    <t>SOUTH SHETLAND; VERTICAL MIGRATION; EUPHAUSIA-SUPERBA; DIVING BEHAVIOR; FEEDING ECOLOGY; ISLAND; ALBATROSSES; KRILL</t>
  </si>
  <si>
    <t>Central-place foragers that must return to a breeding site to deliver food to offspring are faced with trade-offs between prey patch quality and distance from the colony. Among colonial animals, pinnipeds and seabirds may have different provisioning strategies, due to differences in their ability to travel and store energy. We compared the foraging areas of lactating Antarctic fur seals and chinstrap penguins breeding at Seal Island, Antarctica, to investigate whether they responded differently to the distribution of their prey (Antarctic krill and myctophid fish) and spatial heterogeneity in their habitat. Dense krill concentrations occurred in the shelf region near the colony. However, only brooding penguins, which are expected to be time-minimizers because they must return frequently with whole food for their chicks, foraged mainly in this proximal shelf region. Lactating fur seals and incubating penguins, which can make longer trips to increase energy gain per trip, and so are expected to be energy-maximizers, foraged in the more distant (&gt;20 km from the island) slope and oceanic regions. The shelf region was characterized by more abundant, but lower-energy-content immature krill, whereas the slope and oceanic regions had less abundant but higher-energy-content gravid krill, as well as high-energy-content myctophids. Furthermore, krill in the shelf region undertook diurnal vertical migration, whereas those in the slope and oceanic regions stayed near the surface throughout the day, which may enhance the capture rate for visual predators. Therefore, we suggest that the energy-maximizers foraged in distant, but potentially more profitable feeding regions, while the time-minimizers foraged in closer, but potentially less profitable regions. Thus, time and energy constraints derived from different provisioning strategies may result in sympatric colonial predator species using different foraging areas, and as a result, some central-place foragers use suboptimal foraging habitats, in terms of the quality or quantity of available prey.</t>
  </si>
  <si>
    <t>Nalt Res Inst Far Seas Fisheries, Kanazawa, Ishikawa 2368648, Japan; NOAA, Alaska Fisheries Sci Ctr, Natl Marine Mammal Lab, Seattle, WA 98115 USA; Natl Res Inst Fisheries Engn, Ibaraki 3140408, Japan</t>
  </si>
  <si>
    <t>Japan Fisheries Research &amp; Education Agency (FRA); National Oceanic Atmospheric Admin (NOAA) - USA; Japan Fisheries Research &amp; Education Agency (FRA)</t>
  </si>
  <si>
    <t>Ichii, T (corresponding author), Nalt Res Inst Far Seas Fisheries, 2-12-4 Fukuura, Kanazawa, Ishikawa 2368648, Japan.</t>
  </si>
  <si>
    <t>ichii@affrc.go.jp</t>
  </si>
  <si>
    <t>OKAMURA, HIROSHI/AAS-2637-2021; Okamura, Hiroshi/AAV-4162-2021</t>
  </si>
  <si>
    <t>Ichii, Taro/0000-0001-6587-2174</t>
  </si>
  <si>
    <t>10.3354/meps06873</t>
  </si>
  <si>
    <t>WOS:000249816300024</t>
  </si>
  <si>
    <t>Karpouzi, VS; Watson, R; Pauly, D</t>
  </si>
  <si>
    <t>Karpouzi, Vasiliki S.; Watson, Reg; Pauly, Daniel</t>
  </si>
  <si>
    <t>Modelling and mapping resource overlap between seabirds and fisheries on a global scale: a preliminary assessment</t>
  </si>
  <si>
    <t>seabird-fisheries interactions; resource overlap; roraging distribution; seabird food consumption</t>
  </si>
  <si>
    <t>FOOD-CONSUMPTION; PREY CONSUMPTION; BIODIVERSITY INFORMATICS; SHEARWATERS PUFFINUS; BREEDING SEABIRDS; MESOPELAGIC FISH; COMPETITION; TRENDS; SEALS; DISTRIBUTIONS</t>
  </si>
  <si>
    <t>Coexistence of foraging seabirds and operating fisheries may result in interactions such as competition for the same prey resources. We used GIS-based modelling at a scale of 0.5 x 0.5 degrees spatial cells to: (1) map the foraging distribution of seabirds; (2) predict their annual food consumption rates in a spatially explicit manner; and (3) estimate a spatially explicit seabird -fisheries overlap index. Information on population size, diet composition and foraging attributes of 351 seabird species was compiled into a Microsoft Access database. Global annual food consumption by seabirds was estimated to be 96.4 million tonnes (95 % CI: 78.0 to 114.7 million tonnes), compared with a total catch of nearly 120 million tonnes by all marine fisheries. Krill and cephalopods comprised over 58 % of the overall food consumed and fish most of the remainder. The families Procellariidae (albatrosses, petrels, shearwaters) and Spheniscidae (penguins) were responsible for over 54 % of the overall food consumption. Seabird foraging distribution maps revealed that areas around New Zealand, the eastern Australian coast, and the sub-Antarctic islands had high species richness. However, temperate and polar regions supported high seabird densities and most food extracted by seabirds originated there. Furthermore, maps of food consumption rates revealed that most food consumed by seabirds was extracted from offshore rather than nearshore waters and from areas where seabird -fisheries overlap was low. The resource overlap maps identified 'hotspots' of highest potential for conflict between fisheries and seabirds. Thus, this study may provide useful insight when developing management approaches for designing offshore marine conservation areas.</t>
  </si>
  <si>
    <t>Univ British Columbia, UBC Fisheries Ctr, Aquat Ecosyst Res Lab, Vancouver, BC V6T 1Z4, Canada</t>
  </si>
  <si>
    <t>Karpouzi, VS (corresponding author), Univ British Columbia, UBC Fisheries Ctr, Aquat Ecosyst Res Lab, 2202 Main Mall, Vancouver, BC V6T 1Z4, Canada.</t>
  </si>
  <si>
    <t>v.karpouzi@fisheries.ubc.ca</t>
  </si>
  <si>
    <t>Watson, Reg A/F-4850-2012; Pauly, Daniel Marc/AAY-2316-2021</t>
  </si>
  <si>
    <t>Watson, Reg A/0000-0001-7201-8865;</t>
  </si>
  <si>
    <t>10.3354/meps06860</t>
  </si>
  <si>
    <t>206DJ</t>
  </si>
  <si>
    <t>WOS:000249163800009</t>
  </si>
  <si>
    <t>Cresswell, KA; Tarling, GA; Burrows, MT</t>
  </si>
  <si>
    <t>Cresswell, Katherine A.; Tarling, Geraint A.; Burrows, Michael T.</t>
  </si>
  <si>
    <t>Behaviour affects local-scale distributions of Antarctic krill around South Georgia</t>
  </si>
  <si>
    <t>Euphausia superba; behaviour; DVM; swarming; SDP; advection; Stochastic dynamic programming; mortality</t>
  </si>
  <si>
    <t>DIEL VERTICAL MIGRATION; NATURAL GROWTH-RATES; EUPHAUSIA-SUPERBA; MACARONI PENGUINS; POPULATION-DYNAMICS; NORTHERN KRILL; SEA; VARIABILITY; PREDATION; STRATEGY</t>
  </si>
  <si>
    <t>Antarctic krill Euphausia superba are key to most Antarctic ecosystems, particularly at South Georgia, where penguins and seals rely on them for their breeding success each summer. Changes in krill behaviour and local-scale distribution during this time can have large consequences for these predators; however, we currently have little understanding of the behaviour of Antarctic krill in response to changing conditions of predation and food. We used a stochastic dynamic programming model to investigate the behaviour of krill within a region close to South Georgia that is known to be heavily foraged by penguins and seals. In the model, krill responded to changing conditions by adjusting their depth, density of swarm and swimming behaviour. We have shown the optimal behaviour of krill in 3 biologically distinct regions: the on-shelf region, shelf-break region and off-shelf region. We predict significantly higher concentrations of krill will result at the shelf-break region from krill choosing to swim slower and turn more often in a favourable zone. In addition, we predict a diel pattern in swarm density in most conditions of the model, with small krill generally forming lower density swarms than large krill, particularly on-shelf. This work is the first prediction of the effects of krill swarming and swimming behaviour on local-scale distribution.</t>
  </si>
  <si>
    <t>British Antarctic Survey, NERC, Cambridge CB3 0ET, England; Scottish Assoc Marine Sci, Dunstaffnage Marine Lab, Oban PA37 1QA, Argyll, Scotland</t>
  </si>
  <si>
    <t>UK Research &amp; Innovation (UKRI); Natural Environment Research Council (NERC); NERC British Antarctic Survey; UHI Millennium Institute</t>
  </si>
  <si>
    <t>Cresswell, KA (corresponding author), Univ Calif Santa Cruz, Dept Appl Math &amp; Stat, Jack Baskin Sch Engn, Santa Cruz, CA 95064 USA.</t>
  </si>
  <si>
    <t>kcre@soe.ucsc.edu</t>
  </si>
  <si>
    <t>Burrows, Michael T/D-9844-2013; Burrows, Michael/ABF-4844-2020</t>
  </si>
  <si>
    <t>Burrows, Michael T/0000-0003-4620-5899; Burrows, Michael/0000-0003-4620-5899; Cresswell, Katherine/0000-0003-1692-4964</t>
  </si>
  <si>
    <t>10.3354/meps06908</t>
  </si>
  <si>
    <t>WOS:000249163800020</t>
  </si>
  <si>
    <t>Hirst, AG; Bonnet, D; Harris, RP</t>
  </si>
  <si>
    <t>Hirst, A. G.; Bonnet, D.; Harris, R. P.</t>
  </si>
  <si>
    <t>Seasonal dynamics Calanus helgolandicus and mortality rates of over two years at a station in the English Channel</t>
  </si>
  <si>
    <t>copepod; mortality; fecundity; seasonality; stage-specific</t>
  </si>
  <si>
    <t>MARINE PLANKTONIC COPEPODS; STAGE-SPECIFIC MORTALITY; PSEUDOCALANUS-ELONGATUS; VERTICAL-DISTRIBUTION; POPULATION-DYNAMICS; SAGITTA-ELEGANS; EGG-PRODUCTION; GLOBAL RATES; GROWTH; FINMARCHICUS</t>
  </si>
  <si>
    <t>The stage-specific abundance and egg production rates of Calanus helgolandicus were determined on a near-weekly basis over 2 yr at a 50 rn deep station in the SW English Channel (Stn L4). Mortality rates were derived using a vertical life-table approach across eggs, nauplii and also the CV-adult stage pair. The results demonstrate strong seasonal patterns in the mortality rates of egg and nauplii and the CV-adult stage pair, but with different relative rates and somewhat different seasonalities. Mortality was highest in the egg and egg-NI stages, averaging 6.1 and similar to 1.5 d(-1), respectively, with the percentage surviving through the egg-NI stage pair often &lt;&lt; 10 %. Although the instantaneous removal rate of eggs was significantly related to adult abundance (p &lt; 0.001, r(2) = 0.221), densities of adult C. helgolandicus seemed too low to account for these rates. Examination of the relationship between CV-adult female mortality and the abundance of the dominant invertebrate predators revealed statistically significant relationships (p &lt; 0.001 r(2) = 0.276 for chaetognaths; p &lt; 0.001 r2 = 0.125 for siphonophores); however, the variability explained by temperature was much higher (p &lt; 0.001 r(2) = 0.652). The egg-NI and NI-NII stage pairs also showed a highly statistically significant positive relationship between mortality and temperature. For the first time we compared mortality rates for egg-NI using 2 vertical methods - one using measurements of egg and NI abundance (Method A) the other using egg production rates and NI abundance (Method B) -and found the two to be similar, although Method B gave higher values. Finally, as many mortality equations do not consider the bias resulting from the presence of eggs incapable of hatching in the field, we derived and applied new equations for mortality of eggs and egg-NI (Method A) that incorporated egg hatching success. At low hatching success or low mortality rates, this correction can alter estimates of mortality rates significantly.</t>
  </si>
  <si>
    <t>Plymouth Marine Lab, Plymouth PL1 3DH, Devon, England; British Antarctic Survey, Nat Environm Res Council, Cambridge CB3 0ET, England</t>
  </si>
  <si>
    <t>Plymouth Marine Laboratory; UK Research &amp; Innovation (UKRI); Natural Environment Research Council (NERC); NERC British Antarctic Survey</t>
  </si>
  <si>
    <t>Hirst, AG (corresponding author), Lab Ecosyst Lagunaires, Pl eugene Batallon, F-34095 Montpellier 05, France.</t>
  </si>
  <si>
    <t>aghi@bas.ac.uk</t>
  </si>
  <si>
    <t>Delphine, BONNET/AGO-3181-2022; Hirst, Andrew G/A-6296-2013</t>
  </si>
  <si>
    <t>BONNET, Delphine/0000-0002-2040-1800; Hirst, Andrew/0000-0001-9132-1886</t>
  </si>
  <si>
    <t>10.3354/meps340189</t>
  </si>
  <si>
    <t>189TN</t>
  </si>
  <si>
    <t>WOS:000248011500017</t>
  </si>
  <si>
    <t>Phalan, B; Phillips, RA; Silk, JRD; Afanasyev, V; Fukuda, A; Fox, J; Catry, P; Higuchi, H; Croxall, JP</t>
  </si>
  <si>
    <t>Phalan, Ben; Phillips, Richard A.; Silk, Janet R. D.; Afanasyev, Vsevolod; Fukuda, Akira; Fox, James; Catry, Paulo; Higuchi, Hiroyoshi; Croxall, John P.</t>
  </si>
  <si>
    <t>Foraging behaviour of four albatross species by night and day</t>
  </si>
  <si>
    <t>activity patterns; procellariiformes; seabird; Diel cycle; lunar rhythm; Bird Island; South Georgia</t>
  </si>
  <si>
    <t>WANDERING ALBATROSSES; ACTIVITY PATTERN; BREEDING-SEASON; SOUTH-GEORGIA; SEGREGATION; STRATEGIES; ECOLOGY; MIGRATIONS; FISHERIES; HABITAT</t>
  </si>
  <si>
    <t>We integrated information from satellite transmitters, GPS loggers and wet/dry activity loggers to compare the at-sea behaviour of 4 sympatric albatross species by night and day: wandering Diomedea exulans, grey-headed Thalassarche chrysostoma, black-browed T melanophrys and light-mantled sooty Phoebetria palpebra ta (in total, 350 foraging trips by 10 1 individuals). Trip duration, distance and maximum range varied more within species between stages (incubation, broodguard and post-brood) than between species at the same stage, implying that reproductive constraints are more important than interspecific competition in shaping foraging behaviour. Wandering albatrosses spent more time on the water in fewer, longer bouts than other species. The proportion of time spent on the water was similar among the 3 smaller species. The partitioning of foraging activity between day and night varied little between species: all landed and took off more often, but spent less time overall on the water during the day than at night. This supports observations that albatrosses forage most actively during daylight, even though many of their fish and squid prey approach the surface only at night. Albatrosses were more active on bright moonlit nights, seem to have no fixed daily requirement for sleep, rest or digestion time on the water, can navigate in darkness, and are probably unhindered by the slight reduction in mean wind strength at night. They are probably less active at night because their ability to see and capture prey from the air is reduced and it is then more energy-efficient for them to rest or to catch prey using a 'sit-and-wait' foraging strategy.</t>
  </si>
  <si>
    <t>Shizuoka Univ, Fac Engn, Hamamatsu, Shizuoka 4328561, Japan; Natl Environm Res Council, British Antarctic Survey, Cambridge CB3 0ET, England; Inst Super Psicol aplicada, Unidad Invest Eco Etol, P-1100 Lisbon, Portugal; Univ Tokyo, Sch Agr &amp; Life Sci, Bunkyo Ku, Tokyo 1138657, Japan</t>
  </si>
  <si>
    <t>Shizuoka University; UK Research &amp; Innovation (UKRI); Natural Environment Research Council (NERC); NERC British Antarctic Survey; Instituto Superior Psicologia Aplicada (ISPA); University of Tokyo</t>
  </si>
  <si>
    <t>Phalan, B (corresponding author), Univ Cambridge, Dept Zool, Conservat Sci Grp, Downing St, Cambridge CB2 3EJ, England.</t>
  </si>
  <si>
    <t>btp22@cam.ac.uk</t>
  </si>
  <si>
    <t>Phalan, Ben/A-5783-2009; Catry, Paulo/I-5408-2013</t>
  </si>
  <si>
    <t>Phalan, Ben/0000-0001-7876-7226; Fox, James W./0000-0002-3107-696X; Catry, Paulo/0000-0003-3000-0522</t>
  </si>
  <si>
    <t>10.3354/meps340271</t>
  </si>
  <si>
    <t>Green Submitted, Green Accepted, Bronze</t>
  </si>
  <si>
    <t>WOS:000248011500023</t>
  </si>
  <si>
    <t>Lee, JE; Chown, SL</t>
  </si>
  <si>
    <t>Lee, J. E.; Chown, S. L.</t>
  </si>
  <si>
    <t>Mytilus on the move:: transport of an invasive bivalve to the Antarctic</t>
  </si>
  <si>
    <t>antarctica; gough island; invasive alien species; marion island; propagule pressure</t>
  </si>
  <si>
    <t>SOUTHERN-OCEAN; MARINE; BIODIVERSITY; TEMPERATE; IMPACTS; ISLANDS; AFRICA</t>
  </si>
  <si>
    <t>Increasing numbers of scientific and tourist vessels are entering the Antarctic region and have the potential to bring with them a range of organisms that are not currently found in the region. Little is known about the frequency of such introductions or the identity and survivorship of the species associated with them. In this study, we report the findings of an inspection of the sea chests of the South African National Antarctic Programme supply vessel, the SA 'Agulhas', while the vessel was in dry dock in June 2006. Large populations of a known invasive mussel, Mytilus gallo-provincialis (Lamarck), were found. By extrapolating from shell length, the age of individuals was estimated, the results of which suggest that some specimens have survived transportation to the Antarctic region on multiple occasions. These findings are cause for concern and demonstrate that Antarctic research and supply vessels are important vectors for marine non-indigenous species into the region.</t>
  </si>
  <si>
    <t>Univ Stellenbosch, Ctr Invas Biol, Dept Bot &amp; Zool, ZA-7602 Matieland, South Africa</t>
  </si>
  <si>
    <t>Stellenbosch University</t>
  </si>
  <si>
    <t>Chown, SL (corresponding author), Univ Stellenbosch, Ctr Invas Biol, Dept Bot &amp; Zool, Private Bag X1, ZA-7602 Matieland, South Africa.</t>
  </si>
  <si>
    <t>slchown@sun.ac.za</t>
  </si>
  <si>
    <t>Chown, Steven/ABD-7646-2021; Chown, Steven L/H-3347-2011</t>
  </si>
  <si>
    <t>10.3354/meps339307</t>
  </si>
  <si>
    <t>185MA</t>
  </si>
  <si>
    <t>WOS:000247713900027</t>
  </si>
  <si>
    <t>Vázquez, E; Ameneiro, J; Putzeys, S; Gordo, C; Sangrà, P</t>
  </si>
  <si>
    <t>Vazquez, E.; Ameneiro, J.; Putzeys, S.; Gordo, C.; Sangra, P.</t>
  </si>
  <si>
    <t>Distribution of meroplankton communities in the Bransfield Strait, Antarctica</t>
  </si>
  <si>
    <t>meroplankton; Bransfield Strait; Antarctica; invertebrate larvae; distribution; hydrography</t>
  </si>
  <si>
    <t>KING-GEORGE ISLAND; AUSTRAL SUMMER 1995/96; MCMURDO SOUND; BENTHIC INVERTEBRATES; LARVAL DEVELOPMENT; PELAGIC LARVAE; ADMIRALTY BAY; WATER MASSES; ROSS SEA; ABUNDANCE</t>
  </si>
  <si>
    <t>The spatial distribution of meroplankton in Bransfield Strait, Antarctica, and its relationships with hydrographical conditions are described. Biological sampling was carried out with BIONESS sampling gear at 19 stations and at 5 depths between 10 and 300 m. The main hydrographic features were a shallow hydrographic front in the southern part of the strait that separates Transitional Zonal Water with Bellingshausen influence (TBW) from Transitional Zonal Water with Weddell influence (TWW) and a slope front, the so-called Bransfield front, along the South Shetland Islands Slope (SSI). A northeastward baroclinic jet known as the Bransfield Current (BC) originates from this slope front. The meroplankton community was very diverse and included 12 types of larvae, dominated by polychaete and echinoderm larvae. The meroplankton were more abundant closer to the SSI in the BC and decreased in number towards the Antarctic Peninsula. Polychaete larvae were found close to both shores but mainly close to the SSI in TBW; they were very sparse in the central basin, appeared again below 100 m depth in TWW, and increased in abundance in upper layers at stations between the hydrographic front and the Antarctic Peninsula, in TWW. By contrast, echinoderm larvae mainly occupied the central basin and were always associated with the upper 100 m in TBW, just above the polychaete larvae; they were almost absent from TWW. In summary, meroplanktonic larval exhibit a strong dependence on water masses, depth, and fronts.</t>
  </si>
  <si>
    <t>Univ Vigo, Fac Ciencias Mar, Dept Ecoloxia &amp; Bioloxia Anim, Vigo 36200, Spain; Univ Las Palmas Gran Canaria, Fac Ciencias Mar, Dept Biol, Las Palmas Gran Canaria 35017, Spain; Univ Las Palmas Gran Canaria, Fac Ciencias Mar, Dept Fis, Las Palmas Gran Canaria 35017, Spain</t>
  </si>
  <si>
    <t>Universidade de Vigo; Universidad de Las Palmas de Gran Canaria; Universidad de Las Palmas de Gran Canaria</t>
  </si>
  <si>
    <t>Vázquez, E (corresponding author), Univ Vigo, Fac Ciencias Mar, Dept Ecoloxia &amp; Bioloxia Anim, Vigo 36200, Spain.</t>
  </si>
  <si>
    <t>eotero@uvigo.es</t>
  </si>
  <si>
    <t>Vázquez, Elsa/D-7082-2013; Sangra, Pablo/I-1350-2015</t>
  </si>
  <si>
    <t>GORDO ROJAS, CARMEN/0000-0002-4377-6373; Putzeys, Sebastien/0000-0003-2947-2629; Vazquez, Elsa/0000-0003-0782-4734; Sangra, Pablo/0000-0002-6600-2194</t>
  </si>
  <si>
    <t>10.3354/meps338119</t>
  </si>
  <si>
    <t>182BN</t>
  </si>
  <si>
    <t>WOS:000247480200011</t>
  </si>
  <si>
    <t>Tarling, GA; Shreeve, RS; Ward, P</t>
  </si>
  <si>
    <t>Tarling, G. A.; Shreeve, R. S.; Ward, P.</t>
  </si>
  <si>
    <t>Life-cycle and population dynamics of Rhincalanus gigas (Copepoda: Calanoida) in the Scotia Sea</t>
  </si>
  <si>
    <t>copepod; zooplankton; Southern Ocean; phenotype; diapause; mortality; development; stage-structured model</t>
  </si>
  <si>
    <t>DOMINANT ANTARCTIC COPEPODS; SOUTHERN-OCEAN; CALANUS-PROPINQUUS; NEOCALANUS-CRISTATUS; EGG-PRODUCTION; FECAL PELLETS; GEORGIA; ACUTUS; ZOOPLANKTON; GROWTH</t>
  </si>
  <si>
    <t>A stage- and age-structured model was constructed to simulate stage-abundance patterns of Rhincalanus gigas in a data set consisting of over 80 yr of net-catch observations in the Scotia Sea. The model was initialised with the observed annual abundances of the Cl stage and the population developed according to pre-defined developmental stage durations, which varied according to life-cycle phenotype. Better fits to net-catch observations were achieved by models that allowed a number of different life-cycle phenotypes to co-exist in the population. In particular, a model in which 71 % of individuals reached adulthood in 2 yr (2 yr phenotype) and 29 % in 1 yr (1 yr phenotype) achieved the best fit. Of the 2 yr phenotypes, most individuals spent their 1st winter as a CIII, although a fraction passed this period as a CIV or CV. The 1 yr phenotypes entered their 1st winter as a CV but moulted through to adulthood before the following spring. During the productive period, the mortality rate of the early developmental stages was 0.1 d(-1), but this fell to 0.007 d(-1) as individuals developed beyond stage CIII. During the winter, the mortality rate fell further to 0.003 d(-1). Such rates meant that around 1.5 % of the copepodite population lived for 3 yr or more. Many of these spent 2 yr as an adult. Quantitative descriptions of development and mortality rates in the later stages of long-lived copepods are relatively few because of the difficulty in distinguishing the many generations in a typical population. As well as being the first to determine these rates in R. gigas, this study provides a methodological framework for determining such rates in other copepods with multi-year life cycles.</t>
  </si>
  <si>
    <t>British Antarctic Survey, NERC, Cambridge CB3 0ET, England</t>
  </si>
  <si>
    <t>Tarling, GA (corresponding author), British Antarctic Survey, NERC, High Cross,Madingley Rd, Cambridge CB3 0ET, England.</t>
  </si>
  <si>
    <t>gant@bas.ac.uk</t>
  </si>
  <si>
    <t>10.3354/meps338145</t>
  </si>
  <si>
    <t>Green Accepted, Bronze</t>
  </si>
  <si>
    <t>WOS:000247480200013</t>
  </si>
  <si>
    <t>Hamer, KC; Humphreys, EM; Garthe, S; Hennicke, J; Peters, G; Gremillet, D; Phillips, RA; Harris, MP; Wanless, S</t>
  </si>
  <si>
    <t>Hamer, K. C.; Humphreys, E. M.; Garthe, S.; Hennicke, J.; Peters, G.; Gremillet, D.; Phillips, R. A.; Harris, M. P.; Wanless, S.</t>
  </si>
  <si>
    <t>Annual variation in diets, feeding locations and foraging behaviour of gannets in the North Sea: flexibility, consistency and constraint</t>
  </si>
  <si>
    <t>Morus bassanus; wildlife telemetry; geolocation; home range; optimal foraging</t>
  </si>
  <si>
    <t>MORUS-BASSANUS; BREEDING SEABIRDS; RISSA-TRIDACTYLA; PREY ABUNDANCE; SULA-BASSANA; GPS TRACKING; CAPE GANNETS; HABITAT USE; AVAILABILITY; STRATEGIES</t>
  </si>
  <si>
    <t>Many seabirds nesting in areas bordering the North Sea have recently experienced large annual variation in breeding success, including reproductive failures in some cases. In contrast, the breeding success of northern gannets Morus bassanus has remained remarkably stable. The present study examines data from the large gannet colony at the Bass Rock (southeast Scotland) across 3 years, to assess the extent to which such stability may reflect both flexibility and consistency in diets and foraging behaviour. Adults exhibited great flexibility both in the species and sizes of prey consumed and in foraging trip durations, ranges and total distances travelled. They also showed a high degree of consistency in bearings of foraging trips and in behaviour at sea; the sinuosity of foraging tracks and average speed of travel was very similar each year and birds in all years spent about half their time at sea in flight. Adults returned to the nest at higher speeds from more distant foraging locations up to ca. 300 km from the colony, but speeds decreased for the farthest destinations (&gt;ca. 400 km). Moreover, the relationship between trip duration and distances travelled at sea was asymptotic beyond ca. 60 h. These non-linear relationships probably reflected constraints on energy expenditure during flight. As a result, nest attendance was low in years with long average trip durations and chicks were left unattended and vulnerable to attack by conspecifics. These data suggest that while adults have so far been able to maintain high reproductive success in years of low prey availability, they may not be able to do so in future years if providing sufficient food for chicks entails any further increases in trip duration or foraging effort.</t>
  </si>
  <si>
    <t>Univ Leeds, Earth Biosphere Inst, Leeds LS2 9JT, W Yorkshire, England; Univ Leeds, Fac Biol Sci, Leeds LS2 9JT, W Yorkshire, England; Univ Stirling, British Trust Ornithol Scotland, Sch Biol &amp; Environm Sci, Stirling FK9 4LA, Scotland; Univ Kiel, Ctr Res &amp; Technol Westkuste, D-25761 Busum, Germany; Univ Hamburg, Inst Zool, D-20146 Hamburg, Germany; Earth &amp; Ocean Technol, D-24113 Kiel, Germany; Univ Cape Town, Percy FitzPatrick Inst, ZA-7701 Rondebosch, South Africa; British Antarctic Survey, NERC, Cambridge CB3 0ET, England; NERC, Ctr Ecol &amp; Hydrol, Banchory Res Stn, Aberdeen AB31 4BY, Scotland</t>
  </si>
  <si>
    <t>University of Leeds; University of Leeds; University of Stirling; University of Kiel; University of Hamburg; University of Cape Town; UK Research &amp; Innovation (UKRI); Natural Environment Research Council (NERC); NERC British Antarctic Survey; UK Research &amp; Innovation (UKRI); Natural Environment Research Council (NERC); UK Centre for Ecology &amp; Hydrology (UKCEH)</t>
  </si>
  <si>
    <t>Hamer, KC (corresponding author), Univ Leeds, Earth Biosphere Inst, Leeds LS2 9JT, W Yorkshire, England.</t>
  </si>
  <si>
    <t>k.c.hamer@leeds.ac.uk</t>
  </si>
  <si>
    <t>Humphreys, Elizabeth M/F-1179-2011; Wanless, Sarah/K-2338-2012; Gremillet, David/W-1946-2018</t>
  </si>
  <si>
    <t>Wanless, Sarah/0000-0002-2788-4606; Gremillet, David/0000-0002-7711-9398</t>
  </si>
  <si>
    <t>Natural Environment Research Council [CEH010021] Funding Source: researchfish</t>
  </si>
  <si>
    <t>10.3354/meps338295</t>
  </si>
  <si>
    <t>WOS:000247480200026</t>
  </si>
  <si>
    <t>Wall, SM; Bradshaw, CJA; Southwell, CJ; Gales, NJ; Hindell, MA</t>
  </si>
  <si>
    <t>Wall, Stephen M.; Bradshaw, Corey J. A.; Southwell, Colin J.; Gales, Nicholas J.; Hindell, Mark A.</t>
  </si>
  <si>
    <t>Crabeater seal diving behaviour in eastern Antarctica</t>
  </si>
  <si>
    <t>Southern Ocean; crabeater seal; krill; diving behaviour; habitat use; satellite telemetry; generalised linear models</t>
  </si>
  <si>
    <t>EUPHAUSIA-SUPERBA; LOBODON-CARCINOPHAGUS; FORAGING BEHAVIOR; HAULOUT BEHAVIOR; FUR SEALS; KRILL; PREDATORS; ABUNDANCE; PREY; RESPONSES</t>
  </si>
  <si>
    <t>Southern Ocean waters are highly productive and contain important food resources for many indigenous predators, including humans. Management of these resources has fallen under the regulation of the Convention for the Conservation of Antarctic Marine Living Resources (CCAMLR), which has identified a suite of predators as indicator species for monitoring ecosystem fluctuations, including crabeater seals. For crabeater seals to fulfil this role, however, they must respond predictably to fluctuations in krill distribution and abundance. Here, we investigated the validity of using the diving behaviour of this species as an indicator of krill distribution and abundance. We used behavioural data collected from 23 crabeater seals fitted with satellite-linked time-depth recorders off eastern Antarctica to quantify habitat use as a function of the amount of time they spent within geographic regions with varying environmental characteristics. This was then linked with diving behaviour in those regions. By integrating geographic location and diving parameters, we demonstrated that habitat use and foraging behaviour within eastern Antarctic waters fluctuated in response to seasonal and spatial environmental variability. Our attempts to use oceanographic variables to develop models of crabeater seal habitat use and behaviour demonstrated real limitations in inferring behaviour from a simple set of environmental factors, but we identified ocean depth and the proximity to the ice edge as factors influencing seasonal habitat use and diving behaviour. Whilst our understanding of the influences driving crabeater seal distribution has improved as a result of telemetry studies, it would appear premature to infer cross-species patterns in distribution and abundance with krill given the low predictive power of models derived in the present study. Furthermore, the dynamic and regionally variable use of pelagic habitat by this widely abundant Antarctic predator has important implications for the estimation of crabeater seal biomass.</t>
  </si>
  <si>
    <t>Univ Tasmania, Antarctic Wildlife Res Unit, Sch Zool, Hobart, Tas 7001, Australia; Charles Darwin Univ, Inst Adv Studies, Sch Environm Res, Darwin, NT 0909, Australia; Australian Antarctic Div, Dept Environm &amp; Heritage, Kingston, Tas 7050, Australia</t>
  </si>
  <si>
    <t>University of Tasmania; Charles Darwin University; Australian Antarctic Division</t>
  </si>
  <si>
    <t>Wall, SM (corresponding author), Univ Tasmania, Antarctic Wildlife Res Unit, Sch Zool, Private Bag 05, Hobart, Tas 7001, Australia.</t>
  </si>
  <si>
    <t>stephen.wall@utas.edu.au</t>
  </si>
  <si>
    <t>Bradshaw, Corey J. A./A-1311-2008; Hindell, Mark A/C-8368-2013; Hindell, Mark A/K-1131-2013</t>
  </si>
  <si>
    <t>Bradshaw, Corey J. A./0000-0002-5328-7741; Hindell, Mark/0000-0002-7823-7185</t>
  </si>
  <si>
    <t>10.3354/meps337265</t>
  </si>
  <si>
    <t>176SL</t>
  </si>
  <si>
    <t>WOS:000247105100023</t>
  </si>
  <si>
    <t>Kimmerer, WJ; Hirst, AG; Hopcroft, RR; McKinnon, AD</t>
  </si>
  <si>
    <t>Kimmerer, W. J.; Hirst, A. G.; Hopcroft, R. R.; McKinnon, A. D.</t>
  </si>
  <si>
    <t>Estimating juvenile copepod growth rates: corrections, inter-comparisons and recommendations</t>
  </si>
  <si>
    <t>growth rate; copepoda; methods; molt rate</t>
  </si>
  <si>
    <t>TROPICAL MARINE COPEPODS; KRILL EUPHAUSIA-SUPERBA; MOLTING RATES; CALANUS-FINMARCHICUS; EGG-PRODUCTION; BODY-SIZE; PHYTOPLANKTON CONCENTRATION; SECONDARY PRODUCTION; PSEUDOCALANUS SP; PHYSIO-ECOLOGY</t>
  </si>
  <si>
    <t>The 2 most common experimental methods used to estimate rates of juvenile growth in marine copepods are the molt rate (MR) method, and the artificial cohort (AC) method. Recently, we showed the equations used in the MR method to be incorrect, and proposed a modified molt rate (MMR) method. Here, using statistical and model approaches, we compare the AC and MMR methods under various scenarios to quantify their errors. Although the AC and MMR methods both use a combination of field sampling and simulated in situ incubations to estimate somatic growth, they differ in several important characteristics. The AC method determines growth by the change in mean weight during incubation. Mean weight of copepods in the samples can be determined directly, or inferred from mean weight by life stage or from length-weight regressions. We show that substantial error is avoided only if weights are measured directly (AC(direct)). The AC(direct) method is insensitive to variable age within stage due to mortality or variable recruitment in the sampled population, an important advantage over the MMR method. However, the ACdirect method is sensitive to variation in growth rate (luring incubation, which does not affect the MMR method. We therefore recommend that most experimental estimates of growth rate should apply the ACdi,,ct method, with the MMR as a suitable alternative provided its biases are considered. An indirect method based on life stage is biased and we no longer recommend it, and an indirect method based on length-weight regression provides an intermediate level of bias.</t>
  </si>
  <si>
    <t>Romberg Tiburon Ctr, Tiburon, CA 94920 USA; British Antarctic Survey, Cambridge CB3 0ET, England; Univ Alaska Fairbanks, Inst Marine Sci, Fairbanks, AK 99775 USA; Australian Inst Marine Sci, Townsville, Qld 4810, Australia</t>
  </si>
  <si>
    <t>UK Research &amp; Innovation (UKRI); Natural Environment Research Council (NERC); NERC British Antarctic Survey; University of Alaska System; University of Alaska Fairbanks; Australian Institute of Marine Science</t>
  </si>
  <si>
    <t>Kimmerer, WJ (corresponding author), Romberg Tiburon Ctr, 3152 Paradise Dr, Tiburon, CA 94920 USA.</t>
  </si>
  <si>
    <t>kimmerer@sfsu.edu</t>
  </si>
  <si>
    <t>Hirst, Andrew G/A-6296-2013; Hopcroft, Russell R/I-6286-2012</t>
  </si>
  <si>
    <t>Hirst, Andrew/0000-0001-9132-1886</t>
  </si>
  <si>
    <t>10.3354/meps336187</t>
  </si>
  <si>
    <t>174ZB</t>
  </si>
  <si>
    <t>WOS:000246980400017</t>
  </si>
  <si>
    <t>Hahn, S; Reinhardt, K; Ritz, MS; Janicke, T; Montalti, D; Peter, HU</t>
  </si>
  <si>
    <t>Hahn, Steffen; Reinhardt, Klaus; Ritz, Markus S.; Janicke, Tim; Montalti, Diego; Peter, Hans-Ulrich</t>
  </si>
  <si>
    <t>Oceanographic and climatic factors differentially affect reproduction performance of Antarctic skuas</t>
  </si>
  <si>
    <t>maritime Antarctic; sea surface temperature; sea ice cover; Catharacta spp.; breeding parameter; chick growth; life history</t>
  </si>
  <si>
    <t>SEA-ICE EXTENT; SOUTH POLAR; CATHARACTA-MACCORMICKI; GREAT SKUAS; FOOD; PENINSULA; VARIABILITY; TEMPERATURE; LONNBERGI; KRILL</t>
  </si>
  <si>
    <t>We studied how environmental conditions affect reproduction in sympatric skua species that differ in their reliance on marine resources: the exclusively marine foraging south polar skua Catharacta maccormicki, the terrestrially foraging brown skua C. antarctica lonnbergi and mixed species pairs with an intermediate diet. Egg size, clutch asymmetry and hatching dates varied between species and years without consistent patterns. In the south polar skuas, 12 to 38% of the variation in these parameters was explained by sea surface temperature, sea ice cover and local weather. In mixed species pairs and brown skuas, the influence of environmental factors on variation in clutch asymmetry and hatching date decreased to 10-29%, and no effect on egg size was found. Annual variation in offspring growth performance also differed between species with variable growth in chicks of south polar skuas and mixed species pairs, and almost uniform growth in brown skuas. Additionally, the dependency on oceanographic and climatic factors, especially local wind conditions, decreased from south polar skuas to brown skua chicks. Consistent in all species, offspring were more sensitive to environmental conditions during early stages; during the late chick stage (&gt;33 d) chick growth was almost independent of environmental conditions. The net breeding success could not be predicted by any environmental factor in any skua species, suggesting it may not be a sensitive indicator of environmental conditions. Hence, the sensitivity of skuas to environmental conditions varied between species, with south polar skuas being more sensitive than brown skuas, and between breeding periods, with the egg parameters being more susceptible to oceanographic conditions. However, during offspring development, local climatic conditions became more important. We conclude that future climate change in the Maritime Antarctic will affect reproduction of skuas more strongly through changes in sea ice cover and sea surface temperature (and the resulting alterations to the marine food web) than through local weather conditions.</t>
  </si>
  <si>
    <t>Univ Jena, Inst Ecol, D-07743 Jena, Germany; Univ Sheffield, Dept Anim &amp; Plant Sci, Sheffield S10 2TN, S Yorkshire, England; Inst Antartico Argentino, RA-1010 Buenos Aires, DF, Argentina; Netherlands Inst Ecol, NIOO KNAW, Ctr Limnol, Dept Plant Anim Interact, NL-3600 BG Maarssen, Netherlands</t>
  </si>
  <si>
    <t>Friedrich Schiller University of Jena; University of Sheffield; Instituto Antartico Argentino; Royal Netherlands Academy of Arts &amp; Sciences; Netherlands Institute of Ecology (NIOO-KNAW)</t>
  </si>
  <si>
    <t>Hahn, S (corresponding author), Univ Jena, Inst Ecol, Dornburger Str 159, D-07743 Jena, Germany.</t>
  </si>
  <si>
    <t>s.hahn@nioo.knaw.nl</t>
  </si>
  <si>
    <t>Ritz, Markus S./A-5321-2008; Janicke, Tim/AHD-5939-2022</t>
  </si>
  <si>
    <t>Janicke, Tim/0000-0002-1453-6813</t>
  </si>
  <si>
    <t>10.3354/meps334287</t>
  </si>
  <si>
    <t>159JN</t>
  </si>
  <si>
    <t>WOS:000245862000027</t>
  </si>
  <si>
    <t>Schloss, IR; Ferreyra, GA; Ferrario, ME; Almandoz, GO; Codina, R; Bianchi, AA; Balestrini, CF; Ochoa, HA; Pino, DR; Poisson, A</t>
  </si>
  <si>
    <t>Schloss, Irene R.; Ferreyra, Gustavo A.; Ferrario, Martha E.; Almandoz, Gaston O.; Codina, Raul; Bianchi, Alejandro A.; Balestrini, Carlos F.; Ochoa, Hector A.; Pino, D. Ruiz; Poisson, Alain</t>
  </si>
  <si>
    <t>Role of plankton communities in sea-air variations in pCO2 in the SW Atlantic Ocean</t>
  </si>
  <si>
    <t>gross primary production; net primary production; respiration; phytoplankton composition; pCO(2); oxygen saturation; SW Atlantic; continental shelf</t>
  </si>
  <si>
    <t>ANTARCTIC PENINSULA; PHYTOPLANKTON PRODUCTION; CONTINENTAL-SHELF; PATAGONIAN SHELF; ORGANIC-MATTER; SURFACE WATERS; CARBON-DIOXIDE; SOUTH-AMERICA; CHLOROPHYLL-A; CO2</t>
  </si>
  <si>
    <t>The influence of the plankton community structure on carbon dynamics was studied in the surface waters of the Argentinean continental shelf (SW Atlantic Ocean) in summer and fall 2002, 2003 and 2004. The horizontal changes in plankton community respiration (R), net community production (NCP) and gross primary production (GPP) were (1) compared with the difference in the partial pressure Of CO2 (PCO2) between the sea surface and the atmosphere (ApCO(2)), (2) compared with oxygen saturation and (3) related to the microscopic phytoplankton assemblages. This area, which has recently been shown to be a CO2 sink, had an average surface oxygen saturation of 108.1%, indicating that net photosynthesis could have played a dominant role in the CO2 dynamics. At most stations, the production:respiration (GPP:R) ratio was greater than 1, indicating that planktonic communities were autotrophic; the average GPP:R ratio for the whole study was 2.99. Phytoplankton biomass (chlorophyll a) and NCP showed an inverse relationship with APC02 and a direct relationship with %O-2 saturation when phytoplankton assemblages were dominated by diatoms (30% of the stations). This was not the case when small (&lt;= 5 mu m) flagellates were the most abundant organisms. Although NCP was mostly positive for both groups of stations (i.e. diatom-dominated or small flagellate-dominated), other physical and biological processes are thought to modify the CO2 dynamics when small flagellates are the prevailing phytoplankton group.</t>
  </si>
  <si>
    <t>Inst Antartico Argentino, RA-1010 Buenos Aires, DF, Argentina; Consejo Nacl Invest Cient &amp; Tecn, RA-1033 Buenos Aires, DF, Argentina; Natl Univ La Plata, Fac Ciencias Nat &amp; Museo, RA-1900 La Plata, Argentina; Univ Buenos Aires, Fac Ciencias Exactas &amp; Nat, Dept Ciencias Atmosfera &amp; Oceanos, RA-1428 Buenos Aires, DF, Argentina; Dept Oceanog, Serv Hildrog Naval, RA-1212 Buenos Aires, DF, Argentina; Univ Paris 06, LOCEAN, F-75252 Paris 05, France</t>
  </si>
  <si>
    <t>Instituto Antartico Argentino; Consejo Nacional de Investigaciones Cientificas y Tecnicas (CONICET); National University of La Plata; Museo La Plata; University of Buenos Aires; Museum National d'Histoire Naturelle (MNHN); Sorbonne Universite</t>
  </si>
  <si>
    <t>Schloss, IR (corresponding author), Inst Antartico Argentino, Cerrito 1248, RA-1010 Buenos Aires, DF, Argentina.</t>
  </si>
  <si>
    <t>ischloss@dna.gov.ar</t>
  </si>
  <si>
    <t>Schloss, Irene R./U-5411-2018</t>
  </si>
  <si>
    <t>Schloss, Irene R./0000-0002-5917-8925; Almandoz, Gaston O./0000-0001-7931-582X; Ferreyra, Gustavo Adolfo/0000-0003-1953-5067</t>
  </si>
  <si>
    <t>10.3354/meps332093</t>
  </si>
  <si>
    <t>154XU</t>
  </si>
  <si>
    <t>Green Submitted, Bronze, Green Published</t>
  </si>
  <si>
    <t>WOS:000245542400008</t>
  </si>
  <si>
    <t>Mapstone, BD; Andrew, NL; Chancerelle, Y; Salvat, B</t>
  </si>
  <si>
    <t>Mapstone, B. D.; Andrew, N. L.; Chancerelle, Y.; Salvat, B.</t>
  </si>
  <si>
    <t>Mediating effects of sea urchins on interactions among corals, algae and herbivorous fish in the Moorea lagoon, French Polynesia</t>
  </si>
  <si>
    <t>herbivory; bioerosion; sea urchins; coral; algae; urchin-coral interactions; algal-coral interactions</t>
  </si>
  <si>
    <t>DIADEMA-ANTILLARUM; MASS MORTALITY; DAMSELFISH TERRITORIALITY; ECHINOID BIOEROSION; COMMUNITY STRUCTURE; GRAZING INTENSITY; RELATIVE IMPACTS; GRAZER BIOMASS; PHASE-SHIFTS; REEF</t>
  </si>
  <si>
    <t>The relative importance of grazing by sea urchins in influencing the composition and structure of coral reef habitats has only occasionally been explored experimentally, and never on the coral reefs of Oceania, where both herbivorous fishes and sea urchins are often common. In this paper we report the results of an experiment in French Polynesia, in which densities of an abundant sea urchin, Echinometra mathaei, were manipulated within the territories of an abundant omnivorous, 'gardening' pomacentrid fish (Stegastes lividus) in thickets of Acropora pulchra. Increasing the sea urchin density resulted in reductions in the standing crop of algae and over-grazing of the dead coral substratum on which the algae grew. After 2 yr of this treatment, the coral thickets began to collapse. Reducing sea urchin densities to very low levels also resulted in collapse of the coral thickets and reduced densities of the fish, although algal biomass was apparently unaffected. We posit that the fish-coral-sea urchin-algal assemblage is relatively robust to wide fluctuations in sea urchin densities, but when sea urchin densities are driven to extremes the coral-algal habitat becomes destabilised and the entire system collapses, possibly as a result of different bioerosion processes in play at high and low sea urchin densities.</t>
  </si>
  <si>
    <t>Univ Tasmania, Antarctic Climate &amp; Ecosyst CRC, Private Bag 80, Hobart, Tas 7001, Australia; WorldFish Ctr, George Town 10670, Malaysia; EPHE, Ctr Rech Insulaires, Moorea, France; EPHE, Observ Environm, Moorea, France; Univ Perpignan, CNRS, URA 8046, EPHE,Lab Biol Marine, F-66860 Perpignan, France</t>
  </si>
  <si>
    <t>University of Tasmania; CGIAR; Worldfish; Universite PSL; Ecole Pratique des Hautes Etudes (EPHE); Universite PSL; Ecole Pratique des Hautes Etudes (EPHE); Centre National de la Recherche Scientifique (CNRS); Universite Perpignan Via Domitia; Universite PSL; Ecole Pratique des Hautes Etudes (EPHE)</t>
  </si>
  <si>
    <t>Mapstone, BD (corresponding author), Univ Tasmania, Antarctic Climate &amp; Ecosyst CRC, Private Bag 80, Hobart, Tas 7001, Australia.</t>
  </si>
  <si>
    <t>bruce.mapstone@acecrc.org.au</t>
  </si>
  <si>
    <t>Andrew, Neil/B-8614-2009; andrew, neil/AAG-6360-2020</t>
  </si>
  <si>
    <t>andrew, neil/0000-0002-2337-8722</t>
  </si>
  <si>
    <t>10.3354/meps332143</t>
  </si>
  <si>
    <t>WOS:000245542400012</t>
  </si>
  <si>
    <t>Thomas, T; Egan, S; Burg, D; Ng, C; Ting, L; Cavicchioli, R</t>
  </si>
  <si>
    <t>Thomas, Torsten; Egan, Suhelen; Burg, Dominic; Ng, Charmaine; Ting, Lily; Cavicchioli, Ricardo</t>
  </si>
  <si>
    <t>Integration of genomics and preotomics into marine microbial ecology</t>
  </si>
  <si>
    <t>environmental genomics; metagenomics; metaproteomics; proteomics; marine ecology; marine microbiology</t>
  </si>
  <si>
    <t>ANTARCTIC ARCHAEON; OLIGOTROPHIC ULTRAMICROBACTERIUM; COLD ADAPTATION; RIBOSOMAL-RNA; METAGENOMICS; DNA; PROTEOMICS; EXTRACTION; SOIL; IDENTIFICATION</t>
  </si>
  <si>
    <t>Genomics and proteomics of microorganisms are revolutionizing our understanding of marine microbial ecology. In this essay we address this by discussing (1) what microbial genome resources are available for marine ecologists, (2) how single-organism genomics and proteomics have revealed new microbial functions in the marine ecosystem, and (3) how the integration of metagenomics, metaproteomics and biogeochemical studies will further advance the field of marine microbial ecology. Comprehensive knowledge of the genetic blueprints, the functions and the interactions of microbial communities will provide insight into the evolution of marine ecosystems and enable rational predictions of how microbial processes will affect, and be affected by, environmental changes.</t>
  </si>
  <si>
    <t>Univ New S Wales, Sch Biotechnol &amp; Biomol Sci, Sydney, NSW 2052, Australia</t>
  </si>
  <si>
    <t>University of New South Wales Sydney</t>
  </si>
  <si>
    <t>Cavicchioli, R (corresponding author), Univ New S Wales, Sch Biotechnol &amp; Biomol Sci, Sydney, NSW 2052, Australia.</t>
  </si>
  <si>
    <t>r.cavicchioli@unsw.edu.au</t>
  </si>
  <si>
    <t>Burg, Dominic/A-8136-2013; Cavicchioli, Ricardo/D-4341-2013</t>
  </si>
  <si>
    <t>Burg, Dominic/0000-0002-9957-3233; Thomas, Torsten/0000-0001-9557-3001; Cavicchioli, Ricardo/0000-0001-8989-6402; Egan, Suhelen/0000-0003-3286-4279</t>
  </si>
  <si>
    <t>10.3354/meps332291</t>
  </si>
  <si>
    <t>WOS:000245542400027</t>
  </si>
  <si>
    <t>Tarling, GA; Cuzin-Roudy, J; Thorpe, SE; Shreeve, RS; Ward, P; Murphy, EJ</t>
  </si>
  <si>
    <t>Tarling, G. A.; Cuzin-Roudy, J.; Thorpe, S. E.; Shreeve, R. S.; Ward, P.; Murphy, E. J.</t>
  </si>
  <si>
    <t>Recruitment of Antarctic krill Euphausia superba in the South Georgia region:: adult fecundity and the fate of larvae</t>
  </si>
  <si>
    <t>reproduction; advection; ocean circulation and climate advanced model; OCCAM; ascent-descent cycle; fecundity; predation; Southern Ocean; polar regions</t>
  </si>
  <si>
    <t>NATURAL GROWTH-RATES; SCOTIA SEA; MEGANYCTIPHANES-NORVEGICA; CIRCUMPOLAR CURRENT; OVARIAN DEVELOPMENT; NORTHERN KRILL; AUSTRAL SUMMER; DAILY RATIONS; LIFE-HISTORY; DANA</t>
  </si>
  <si>
    <t>The high concentration of adult Antarctic krill Euphausia superba Dana around South Georgia, Antarctica, is a product of immigration and not local recruitment. We investigated whether reproduction and early larval development are the cause of local recruitment failure. It was found that the majority of adult females were reproductively active in summer and that there was a comparatively high investment in the ovary, reaching up to 46% of the total wet weight of the krill. The corresponding egg batches were amongst the largest ever reported for E. superba. A semi-empirical model predicted that 11% of females completed just 1 spawning episode per year, 60% completed 2, and 29% completed 3 or more. On average, a South Georgian krill released 12 343 eggs yr(-1). The eggs were unable to complete the descent-ascent developmental cycle on-shelf because the bathymetry was too shallow but, off-shelf, they were predicted to sink to between 490 and 520 m and return to the surface either as a metanauplius or 1st calyptopis stage with plenty of energy reserves remaining. Feeding conditions were adequate for the development of later larval stages once these reserves were exhausted. Although net surveys found calyptopis and early stage furcilia in the vicinity of South Georgia, numbers were mostly lower than predicted. Overall, reproduction or early stage development are successful in this region, leaving predation on larvae and advective export during winter as the main potential causes of local recruitment failure.</t>
  </si>
  <si>
    <t>British Antarctic Survey, NERC, Cambridge CB3 0ET, England; Univ Paris 06, CNRS, UMR 7093, Observ Oceanog, F-06230 Villefranche Sur Mer, France</t>
  </si>
  <si>
    <t>UK Research &amp; Innovation (UKRI); Natural Environment Research Council (NERC); NERC British Antarctic Survey; Sorbonne Universite; Centre National de la Recherche Scientifique (CNRS); CNRS - National Institute for Earth Sciences &amp; Astronomy (INSU)</t>
  </si>
  <si>
    <t>murphy, eugene/GZL-1620-2022</t>
  </si>
  <si>
    <t>Thorpe, Sally/0000-0002-5193-6955</t>
  </si>
  <si>
    <t>10.3354/meps331161</t>
  </si>
  <si>
    <t>145NS</t>
  </si>
  <si>
    <t>Green Submitted, Bronze, Green Accepted</t>
  </si>
  <si>
    <t>WOS:000244872400014</t>
  </si>
  <si>
    <t>Field, IC; Bradshaw, CJA; Burton, HR; Hindell, MA</t>
  </si>
  <si>
    <t>Field, Iain C.; Bradshaw, Corey J. A.; Burton, Harry R.; Hindell, Mark A.</t>
  </si>
  <si>
    <t>Differential resource allocation strategies in juvenile elephant seals in the highly seasonal Southern Ocean</t>
  </si>
  <si>
    <t>southern elephant seals; resource allocation; growth; sexual dimorphism; seasonal environment</t>
  </si>
  <si>
    <t>MIROUNGA-LEONINA; LIFE-HISTORY; ENERGETIC REQUIREMENTS; BLUBBER THICKNESS; BODY-MASS; GROWTH; SEGREGATION; TILETAMINE; PATTERNS; BEHAVIOR</t>
  </si>
  <si>
    <t>Environmental conditions experienced in early life affect growth and influence life history strategies, especially in seasonal environments. We studied the seasonal and sexual variation in resource allocation in juvenile southern elephant seals to investigate whether they show a seasonal decline in growth. We also examined whether sexual differences in growth may lead to separate growth strategies that suit each sex in maximizing fitness. We examined the variation in length (as a measure of somatic growth), body mass and condition of 470 individual 1- to 4-yr-old elephant seals relative to their different growth strategies. Applying a novel growth function, we observed increased somatic growth in summer compared to winter, Males were larger, had higher proportions of lean tissue and grew faster than females, demonstrating the evolution of a male growth strategy of attaining maximum size quickly, and a female strategy of achieving primiparity at an early age. This evidence supports the idea that seasonal patterns reflect seasonal variation in prey availability and quality, and differential growth strategies promote optimal resource allocation and increase an individual's probability of survival and future breeding success in the highly dynamic and seasonal Southern Ocean.</t>
  </si>
  <si>
    <t>Univ Tasmania, Sch Zool, Antarctic Wildlife Res Unit, Hobart, Tas 7001, Australia; Australian Antarctic Div, Kingston, Tas 7050, Australia; Charles Darwin Univ, Sch Environm Res, Darwin, NT 0909, Australia</t>
  </si>
  <si>
    <t>University of Tasmania; Australian Antarctic Division; Charles Darwin University</t>
  </si>
  <si>
    <t>Field, IC (corresponding author), Univ Tasmania, Sch Zool, Antarctic Wildlife Res Unit, Private Bag 05, Hobart, Tas 7001, Australia.</t>
  </si>
  <si>
    <t>iain.field@edu.edu.au</t>
  </si>
  <si>
    <t>Hindell, Mark A/K-1131-2013; Field, Iain C/D-3934-2009; Bradshaw, Corey J. A./A-1311-2008; Hindell, Mark A/C-8368-2013</t>
  </si>
  <si>
    <t>10.3354/meps331281</t>
  </si>
  <si>
    <t>WOS:000244872400023</t>
  </si>
  <si>
    <t>Panagiotopoulos, C; Sempéré, R</t>
  </si>
  <si>
    <t>Panagiotopoulos, Christos; Sempere, Richard</t>
  </si>
  <si>
    <t>Sugar dynamics in large particles during in vitro incubation experiments</t>
  </si>
  <si>
    <t>sinking particles; in vitro incubation experiments; sugar degradation; southern Indian Ocean</t>
  </si>
  <si>
    <t>PARTICULATE ORGANIC-MATTER; NEUTRAL CARBOHYDRATE GEOCHEMISTRY; AMINO-ACIDS; BACTERIAL UTILIZATION; CHEMICAL-COMPOSITION; SOUTHERN-OCEAN; MARINE-SNOW; DEEP OCEAN; FLUXES; SEDIMENTS</t>
  </si>
  <si>
    <t>Large particles (&gt; 60 mu m) were collected using in situ pumps deployed at 30 and 200 m depth at 2 typical stations in the southern Indian Ocean (Polar Front Zone [PFZ] and Sub-Antarctic Area [SAr]). The samples were incubated in vitro with their own bacterial assemblages for 7 to 17 days in batches under oxic conditions in the dark. Particulate organic carbon (POC) and sugars were monitored over time. Particulate sugars (PCHO-C) accounted for 5 to 20% of POC in the SAr, while they represented 5 to 8% of POC in the PFZ station at the beginning of the experiments. Molecular level analysis indicated that at the time of collection, ribose was among the most abundant sugars (18 to 30 wt% of PCHO-C) at the PFZ station and was rapidly degraded (k = 0.051 to 0.058 d(-1)) over the course of the experiment, while this sugar was below detection limits in the SAr. Our results also showed an increase in the relative abundance of deoxysugars (fucose and rhamnose), suggesting that these sugars have the potential to be used as indicators of the bacterial activity and evaluate the degradation status of POM in both areas. The kinetic study indicated that pentoses were degraded faster than hexoses, while deoxysugars exhibited the lowest degradation rates. This study demonstrated that total sugar degradation rates do not reflect the rates of all individual components, but rather a disparate collection of rates among sugars classes and individual sugars, which very likely can vary significantly in relation to the origin of particles.</t>
  </si>
  <si>
    <t>Univ Mediterranee, Ctr Oceanol Marseille, CNRS INSU, UMR 6117,Lab Microbiol Geochim &amp; Ecol Marine LMGE, F-13288 Marseille 9, France</t>
  </si>
  <si>
    <t>Aix-Marseille Universite; Centre National de la Recherche Scientifique (CNRS); CNRS - National Institute for Earth Sciences &amp; Astronomy (INSU)</t>
  </si>
  <si>
    <t>Panagiotopoulos, C (corresponding author), Univ Mediterranee, Ctr Oceanol Marseille, CNRS INSU, UMR 6117,Lab Microbiol Geochim &amp; Ecol Marine LMGE, Campus Luminy,Case 901, F-13288 Marseille 9, France.</t>
  </si>
  <si>
    <t>christos.panagiotopoulos@univmed.fr</t>
  </si>
  <si>
    <t>Sempere, Richard/ABE-9977-2020; Panagiotopoulos, Christos/AAC-1358-2021</t>
  </si>
  <si>
    <t>Sempere, Richard/0000-0002-2956-0998; Panagiotopoulos, Christos/0000-0001-6025-7703</t>
  </si>
  <si>
    <t>10.3354/meps330067</t>
  </si>
  <si>
    <t>139II</t>
  </si>
  <si>
    <t>WOS:000244425100006</t>
  </si>
  <si>
    <t>Brockington, S; Peck, LS; Tyler, PA</t>
  </si>
  <si>
    <t>Brockington, S.; Peck, L. S.; Tyler, P. A.</t>
  </si>
  <si>
    <t>Gametogenesis and gonad mass cycles in the common circumpolar Antarctic echinoid Sterechinus neumayeri</t>
  </si>
  <si>
    <t>gonad mass; seasonality; reproductive cycle; vitellogenesis; urchin</t>
  </si>
  <si>
    <t>SEA-URCHIN; SEASONALITY; GROWTH; REPRODUCTION; TEMPERATURE; ECHINODERMATA; PERIODICITIES; METABOLISM; PHYSIOLOGY; ECOLOGY</t>
  </si>
  <si>
    <t>Polar conditions (low and stable seawater temperature coupled with highly seasonal primary productivity) constrain reproduction in benthic invertebrates. The reproductive cycle of the common Antarctic sea urchin Sterechinus neumayeri was investigated at monthly intervals over a 2 yr period in relation to seasonality of chlorophyll standing stock and ability to feed. Competence to spawn increased gradually throughout the austral winter to peaks in September to November. Gonad mass varied strongly, both seasonally and among 3 geographically close sites. Spawning occurred between October and January at each site, and was strongest in November of both years. Spawning was not always accompanied by a reduction in gonad mass because of simultaneous feeding and deposition of nutritive tissue for the forthcoming winter. Spawning was annual but there was also strong evidence for longer, multi-year periodicity in reproductive output. Histological analysis indicated an 18 to 24 mo vitellogenic cycle, with oocytes developing from 20 to 50 mu m in the first winter, and from 50 to 120 mu m in the second winter. Of total oocyte volume increase (vitellogenesis), 93% occurred within the last 12 mo. Spermatogenesis took 12 mo. S. neumayeri does not feed during the austral winter, and vitellogenesis is therefore predominantly decoupled from energy intake. Much of the cost of reproductive synthesis is met at a time of severe energy limitation.</t>
  </si>
  <si>
    <t>NERC, British Antarct Survey, Cambridge CB3 0ET, England; NERC, Southampton Oceanog Ctr, Southampton SO14 3ZH, Hants, England</t>
  </si>
  <si>
    <t>UK Research &amp; Innovation (UKRI); Natural Environment Research Council (NERC); NERC British Antarctic Survey; University of Southampton; NERC National Oceanography Centre; UK Research &amp; Innovation (UKRI); Natural Environment Research Council (NERC)</t>
  </si>
  <si>
    <t>Peck, LS (corresponding author), NERC, British Antarct Survey, High Cross,Madingley Rd, Cambridge CB3 0ET, England.</t>
  </si>
  <si>
    <t>l.peck@bas.ac.uk</t>
  </si>
  <si>
    <t>Natural Environment Research Council [dml011000] Funding Source: researchfish</t>
  </si>
  <si>
    <t>10.3354/meps330139</t>
  </si>
  <si>
    <t>WOS:000244425100012</t>
  </si>
  <si>
    <t>Olavarría, C; Baker, CS; Garrigue, C; Poole, M; Hauser, N; Caballero, S; Flórez-González, L; Brasseur, M; Bannister, J; Capella, J; Clapham, P; Dodemont, R; Donoghue, M; Jenner, C; Jenner, MN; Moro, D; Oremus, M; Paton, D; Rosenbaum, H; Russell, K</t>
  </si>
  <si>
    <t>Olavarria, C.; Baker, C. Scott; Garrigue, C.; Poole, M.; Hauser, N.; Caballero, S.; Florez-Gonzalez, L.; Brasseur, M.; Bannister, J.; Capella, J.; Clapham, P.; Dodemont, R.; Donoghue, M.; Jenner, C.; Jenner, M. -N.; Moro, D.; Oremus, M.; Paton, D.; Rosenbaum, H.; Russell, K.</t>
  </si>
  <si>
    <t>Population structure of South Pacific humpback whales and the origin of the eastern Polynesian breeding grounds</t>
  </si>
  <si>
    <t>Megaptera novaeangliae; mtDNA; stock structure; Oceania; Indian Ocean; whaling</t>
  </si>
  <si>
    <t>MITOCHONDRIAL-DNA VARIATION; MEGAPTERA-NOVAEANGLIAE; GENE FLOW; MIGRATION; HAPLOTYPES; WORLDWIDE; ATLANTIC</t>
  </si>
  <si>
    <t>Most known concentrations of humpback whales in the southern hemisphere were exploited by commercial whaling operations, first on tropical breeding grounds during the 19th century and then in Antarctic feeding areas and along migratory corridors during the 20th century. However, whaling logbooks of 19th century whalers show almost no records of catches in some regions of current concentration, notably eastern Polynesia, suggesting that humpback whales were formerly absent from these regions or that the locations of their primary concentrations were unknown to early whalers. Here we investigate the population structure of humpback whales across the South Pacific and eastern Indian oceans, with an interest in the origins of whales in eastern Polynesia, using an extensive collection of mitochondrial DNA (mtDNA) sequences obtained from living whales on 6 breeding grounds: New Caledonia, Tonga, Cook Islands, eastern Polynesia (Society Islands of French Polynesia), Colombia and Western Australia. From a total of 1112 samples we sequenced 470 bp of the mtDNA control region, revealing 115 unique haplotypes identified by 71 variable sites. We found significant differentiation, at both the haplotype and nucleotide level (F-ST = 0.033; Phi(ST) = 0.022), among the 6 breeding grounds and for most pair-wise comparisons. The differentiation of the eastern Polynesia humpback whales is consistent with the hypothesis of a relic subpopulation, rather than vagrancy or colonization from known neighboring breeding grounds. Regardless of their origin, it seems probable that islands of eastern Polynesia are now the primary breeding grounds for humpback whales feeding in management Area VI (170 to 120 degrees W) of the Antarctic, as defined by the International Whaling Commission.</t>
  </si>
  <si>
    <t>Univ Auckland, Sch Biol Sci, Auckland 1010, New Zealand; CEQUA, Punta Arenas, Chile; Operat Cetaces, Noumea 98802, New Caledonia; Ctr Rech Insulaires, Moorea, France; Observ Environm, Moorea, France; Cook Isl Whale Res, Rarotonga, Cook Islands; Fdn Yubarta, Cali, Colombia; Edith Cowan Univ, Ctr Ecosyst Managment, Perth, WA 6027, Australia; Western Australian Museum, Perth, WA 6000, Australia; AFSC Natl Marine Mammal Lab, Seattle, WA 98115 USA; External Relat Div, Dept Conservat, Wellington 6143, New Zealand; Ctr Whale Res, Fremantle, WA 6959, Australia; So Cross Univ, Whale Res Ctr, Lismore, NSW 2480, Australia; Amer Museum Natl Hist, Mol Systemat Lab, New York, NY 10024 USA</t>
  </si>
  <si>
    <t>University of Auckland; Edith Cowan University; Western Australian Museum; National Oceanic Atmospheric Admin (NOAA) - USA; Southern Cross University; American Museum of Natural History (AMNH)</t>
  </si>
  <si>
    <t>Baker, CS (corresponding author), Oregon State Univ, Hatfield Marine Sci Ctr, Marine Mammal Inst, Newport, OR 97365 USA.</t>
  </si>
  <si>
    <t>scott.baker@oregonstate.edu</t>
  </si>
  <si>
    <t>Moro, Dorian/AAS-6459-2021; garrigue, claire/I-4704-2016</t>
  </si>
  <si>
    <t>garrigue, claire/0000-0002-8117-3370</t>
  </si>
  <si>
    <t>10.3354/meps330257</t>
  </si>
  <si>
    <t>WOS:000244425100023</t>
  </si>
  <si>
    <t>Rey, AR; Trathan, P; Pütz, K; Schiavini, A</t>
  </si>
  <si>
    <t>Rey, Andrea Raya; Trathan, Phil; Putz, Klemens; Schiavini, Adrian</t>
  </si>
  <si>
    <t>Effect of oceanographic conditions on the winter movements of rockhopper penguins Eudyptes chrysocome chrysocome from Staten Island, Argentina</t>
  </si>
  <si>
    <t>Eudyptes chrysocome chrysocome; oceanographic conditions; geographic information system; foraging; winter dispersal</t>
  </si>
  <si>
    <t>INTERANNUAL VARIABILITY; POPULATION-DYNAMICS; CLIMATE VARIABILITY; SOUTHWEST ATLANTIC; SOUTHERN-OCEAN; SEABIRD; TEMPERATURE; DECLINE; ALBATROSSES; EUPHAUSIIDS</t>
  </si>
  <si>
    <t>We used Argos satellite transmitters to monitor the movement and oceanographic habitats used by rockhopper penguins Eudyptes chrysocome chrysocome during their winter dispersal from Staten Island, Argentina, for 2002 (n = 10) and 2003 (n = 15). In both years penguins concentrated their activities to shallow and highly productive waters with temperatures ranging from 5 to 8 degrees C. However, analysis of migration patterns, in conjunction with remotely-sensed sea surface temperature (SST) and chlorophyll a (chl a) concentration data, showed that habitat use and movement were substantially different for the 2 years. Both years were characterised by different oceanographic conditions; comparison of SST revealed colder temperatures in 2002 than the long-term average, while temperatures in 2003 were not significantly different from average conditions. The movement of rockhopper penguins differed between years: penguins migrated to the same general locations but used a larger number of foraging areas in 2002. They also spent less time travelling than in 2003. Moreover, we also found differences in adult survival or return rate and breeding success between years. Consequently, we conclude that during colder winters with more heterogeneous oceanographic conditions (e.g. 2002), penguins are better able to find enough food to achieve body condition for the following breeding season.</t>
  </si>
  <si>
    <t>Consejo Nacl Invest Cient &amp; Tecn, Ctr Austral Invest Cientificas, Ushuaia, Argentina; British Antarctic Survey, Nat Environm Res Council, Cambridge CB3 0ET, England</t>
  </si>
  <si>
    <t>Consejo Nacional de Investigaciones Cientificas y Tecnicas (CONICET); UK Research &amp; Innovation (UKRI); Natural Environment Research Council (NERC); NERC British Antarctic Survey</t>
  </si>
  <si>
    <t>Rey, AR (corresponding author), Consejo Nacl Invest Cient &amp; Tecn, Ctr Austral Invest Cientificas, Bernardo Houssay 200, Ushuaia, Argentina.</t>
  </si>
  <si>
    <t>arayarey@speedy.com.ar</t>
  </si>
  <si>
    <t>Raya Rey, Andrea/0000-0003-0127-6650; Schiavini, Adrian Carlos Miguel/0000-0001-6621-4827; Puetz, Klemens/0000-0003-1375-2669</t>
  </si>
  <si>
    <t>WOS:000244425100025</t>
  </si>
  <si>
    <t>Mishra, AP; Rai, S; Pandey, AC</t>
  </si>
  <si>
    <t>Mishra, Anshu Prakash; Rai, S.; Pandey, A. C.</t>
  </si>
  <si>
    <t>Ocean model simulation of Southern Indian Ocean surface currents</t>
  </si>
  <si>
    <t>MARINE GEODESY</t>
  </si>
  <si>
    <t>Southern Indian Ocean; z-coordinate Ocean General Circulation Model (OGCM); Antarctic circumpolar current; south equatorial current; wind stress curl; vertically integrated volume transport</t>
  </si>
  <si>
    <t>ANTARCTIC CIRCUMPOLAR CURRENT; GENERAL-CIRCULATION; WIND STRESS; ASSIMILATION</t>
  </si>
  <si>
    <t>The dynamic importance of the Southern Indian Ocean (SIO) lies in the fact that it connects the three major world oceans: the Pacific, Atlantic, and Indian Oceans. Modeling study has been used to understand the circulation pattern of this very important region. Simulation of SIO (10 degrees N-60 degrees S and 30 degrees E-120 degrees E) is performed with z-coordinate Ocean General Circulation Model (OGCM) viz; MOM3.0 and the results have been compared with observed ship drift data. It is found that except near coastal boundaries and in equatorial region, the simulated current reproduce most well known current pattern such as Antarctic Circumpolar Current (ACC), South Equatorial Current (SEC) etc. and bears a resemblance to that of the observed data; however the magnitude of the surface current is weaker in model than the observed data, which may be due to deficiency in the forcing field and boundary condition and problem with observed data. The annual mean wind stress curl computed over the oceanic domain reveals about ACC and its similar importance. The way in which the ocean responds to the windstress and vertically integrated transport using model output is fascinating and rather good.</t>
  </si>
  <si>
    <t>[Mishra, Anshu Prakash; Rai, S.] Univ Allahabad, K Banerjee Ctr Atmospher &amp; Ocean Studies, Allahabad 211002, Uttar Pradesh, India; [Pandey, A. C.] Univ Allahabad, Dept Phys, Allahabad 211002, Uttar Pradesh, India</t>
  </si>
  <si>
    <t>University of Allahabad; University of Allahabad</t>
  </si>
  <si>
    <t>Mishra, AP (corresponding author), Upper Brhamaputra Div, Cent Water Commiss, JP Nagar, POCR Bldg, Dibrugarh 786003, Assam, India.</t>
  </si>
  <si>
    <t>anshu_ms@yahoo.com</t>
  </si>
  <si>
    <t>Pandey, Ashok/AAC-6340-2019; Rai, Shailendra/E-7227-2010; Pandey, Ashok/JBR-8714-2023; PANDEY, AVINASH CHANDRA/B-4600-2014</t>
  </si>
  <si>
    <t>Pandey, Ashok/0000-0003-1626-3529; Pandey, Ashok/0000-0003-1626-3529; PANDEY, AVINASH CHANDRA/0000-0003-0700-3856; Rai, Shailendra/0000-0003-0293-5478</t>
  </si>
  <si>
    <t>TAYLOR &amp; FRANCIS INC</t>
  </si>
  <si>
    <t>PHILADELPHIA</t>
  </si>
  <si>
    <t>530 WALNUT STREET, STE 850, PHILADELPHIA, PA 19106 USA</t>
  </si>
  <si>
    <t>0149-0419</t>
  </si>
  <si>
    <t>1521-060X</t>
  </si>
  <si>
    <t>MAR GEOD</t>
  </si>
  <si>
    <t>Mar. Geod.</t>
  </si>
  <si>
    <t>10.1080/01490410701568467</t>
  </si>
  <si>
    <t>Geochemistry &amp; Geophysics; Oceanography; Remote Sensing</t>
  </si>
  <si>
    <t>240UG</t>
  </si>
  <si>
    <t>WOS:000251613100006</t>
  </si>
  <si>
    <t>Solli, K; Kuvaas, B; Kristoffersen, Y; Leitchenkov, G; Guseva, J; Gandjukhin, V</t>
  </si>
  <si>
    <t>Solli, K.; Kuvaas, B.; Kristoffersen, Y.; Leitchenkov, G.; Guseva, J.; Gandjukhin, V.</t>
  </si>
  <si>
    <t>A seismo-stratigraphic analysis of glaciomarine deposits in the eastern Riiser-Larsen Sea (Antarctica)</t>
  </si>
  <si>
    <t>MARINE GEOPHYSICAL RESEARCH</t>
  </si>
  <si>
    <t>Antarctica; debris flows; deep-sea deposits; Riiser-Larsen Sea; seismics; turbidites</t>
  </si>
  <si>
    <t>CONTINENTAL-MARGIN; WEDDELL SEA; SCOTIA SEA; ICE; TURBIDITE; MIOCENE; FAN; CIRCULATION; TRANSITION; EVOLUTION</t>
  </si>
  <si>
    <t>Multichannel seismic data from the eastern parts of the Riiser-Larsen Sea have been analyzed with a sequence stratigraphic approach. The data set covers a wide bathymetric range from the lower continental slope to the abyssal plain. Four different sequences (termed RLS-A to RLS-D, from deepest to shallowest) are recognized within the sedimentary section. The RLS-A sequence encompasses the inferred pre-glacial part of the deposits. Initial phases of ice sheet arrival at the eastern Riiser-Larsen Sea margin resulted in the deposition of multiple debris flow units and/or slumps on the upper part of the continental rise (RLS-B). The nature and distribution of these deposits indicate sediment supply from a line or a multi-point source. The subsequent stage of downslope sediment transport activity was dominated by turbidity currents, depositing mainly as distal turbidite sheets on the lower rise/abyssal plain (RLS-C). We attribute this to margin progradation and/or a more focussed sediment delivery to the continental shelf edge. As the accommodation space on the lower rise/abyssal plain declined and the base level was raised, the turbidite channels started to backstep and develop large channel-levee complexes on the upper parts of the continental rise (RLS-D). The deposition of various drift deposits on the lower rise/abyssal plain and along the western margin of the Gunnerus Ridge indicates that the RLS-D sequence is also associated with increased activity of contour currents. The drift deposits overlie a distinct regional unconformity which is considered to reflect a major paleoceanographic event, probably related to a Middle Miocene intensification of the Antarctic Circumpolar Current.</t>
  </si>
  <si>
    <t>Univ Bergen, Dept Earth Sci, N-5007 Bergen, Norway; VNIIOkeangeologia, St Petersburg 190121, Russia; PMGRE, Lomonosov 189510, Russia</t>
  </si>
  <si>
    <t>University of Bergen</t>
  </si>
  <si>
    <t>Solli, K (corresponding author), Univ Bergen, Dept Earth Sci, N-5007 Bergen, Norway.</t>
  </si>
  <si>
    <t>Kenneth.Solli@geo.uib.no</t>
  </si>
  <si>
    <t>Leitchenkov, German/0000-0001-6316-8511</t>
  </si>
  <si>
    <t>0025-3235</t>
  </si>
  <si>
    <t>1573-0581</t>
  </si>
  <si>
    <t>MAR GEOPHYS RES</t>
  </si>
  <si>
    <t>Mar. Geophys. Res.</t>
  </si>
  <si>
    <t>10.1007/s11001-007-9013-x</t>
  </si>
  <si>
    <t>Geochemistry &amp; Geophysics; Oceanography</t>
  </si>
  <si>
    <t>173PX</t>
  </si>
  <si>
    <t>WOS:000246886100004</t>
  </si>
  <si>
    <t>Tomioka, N; Tomeoka, K; Nakamura-Messenger, K; Sekine, T</t>
  </si>
  <si>
    <t>Tomioka, Naotaka; Tomeoka, Kazushige; Nakamura-Messenger, Keiko; Sekine, Toshimori</t>
  </si>
  <si>
    <t>Heating effects of the matrix of experimentally shocked Murchison CM chondrite: Comparison with micrometeorites</t>
  </si>
  <si>
    <t>METEORITICS &amp; PLANETARY SCIENCE</t>
  </si>
  <si>
    <t>CARBONACEOUS CHONDRITES; INTERPLANETARY DUST; ATMOSPHERIC ENTRY; ANTARCTIC MICROMETEORITES; THERMAL TRANSFORMATION; ACCRETION RATE; TAGISH LAKE; MINERALOGY; METEORITES; METAMORPHISM</t>
  </si>
  <si>
    <t>Micrometeorites have been significantly altered or melted by heating, which has been mainly ascribed to aerodynamic drag during atmospheric entry. However, if a major fraction of micrometeorites are produced by impacts on porous asteroids, they may have experienced shock heating before contact with the Earth's atmosphere (Tomeoka et al. 2003). A transmission electron microscope (TEM) study of the matrix of Murchison CM chondrite experimentally shocked at pressures of 10-49 GPa shows that its mineralogy and texture change dramatically, mainly due to shock heating, with the progressive shock pressures. Tochilinite is completely decomposed to an amorphous material at 10 GPa. Fe-Mg serpentine is partially decomposed and decreases in amount with increasing pressure from 10 to 30 GPa and is completely decomposed at 36 GPa. At 49 GPa, the matrix is extensively melted and consists mostly of aggregates of equigranular grains of Fe-rich olivine and less abundant low-Ca pyroxene embedded in Si-rich glass. The mineralogy and texture of the shocked samples are similar to those of some types of micrometeorites. In particular, the samples shocked at 10 and 21 GPa are similar to the phyllosilicate (serpentine)-rich micrometeorites, and the sample shocked at 49 GPa is similar to the olivine-rich micrometeorites. The shock heating effects also resemble the effects of pulse-heating experiments on the CI and CM chondrite matrices that were conducted to simulate atmospheric entry heating. We suggest that micrometeorites derived from porous asteroids are likely to go through both shock and atmospheric-entry heating processes.</t>
  </si>
  <si>
    <t>Kobe Univ, Fac Sci, Dept Earth &amp; Planetary Sci, Kobe, Hyogo 6578501, Japan; NASA, Lyndon B Johnson Space Ctr, Houston, TX 77508 USA; Natl Inst Mat Sci, Tsukuba, Ibaraki 3050044, Japan</t>
  </si>
  <si>
    <t>Kobe University; National Aeronautics &amp; Space Administration (NASA); NASA Johnson Space Center; National Institute for Materials Science</t>
  </si>
  <si>
    <t>Tomioka, N (corresponding author), Kobe Univ, Fac Sci, Dept Earth &amp; Planetary Sci, Kobe, Hyogo 6578501, Japan.</t>
  </si>
  <si>
    <t>nao@kobe-u.ac.jp</t>
  </si>
  <si>
    <t>Tomioka, Naotaka/B-1888-2011; Tomioka, Naotaka/AID-3472-2022</t>
  </si>
  <si>
    <t>Tomioka, Naotaka/0000-0001-5725-9513;</t>
  </si>
  <si>
    <t>1086-9379</t>
  </si>
  <si>
    <t>1945-5100</t>
  </si>
  <si>
    <t>METEORIT PLANET SCI</t>
  </si>
  <si>
    <t>Meteorit. Planet. Sci.</t>
  </si>
  <si>
    <t>10.1111/j.1945-5100.2007.tb00214.x</t>
  </si>
  <si>
    <t>124EZ</t>
  </si>
  <si>
    <t>WOS:000243351600002</t>
  </si>
  <si>
    <t>Botta, O; Martins, Z; Ehrenfreund, P</t>
  </si>
  <si>
    <t>Botta, Oliver; Martins, Zita; Ehrenfreund, Pascale</t>
  </si>
  <si>
    <t>Amino acids in Antarctic CM1 meteorites and their relationship to other carbonaceous chondrites</t>
  </si>
  <si>
    <t>INSOLUBLE ORGANIC-MATTER; MURCHISON METEORITE; LIQUID-CHROMATOGRAPHY; PARENT BODY; MOLECULES; SURVIVAL; DELIVERY; INSIGHTS; ORGUEIL; NMR</t>
  </si>
  <si>
    <t>CM2 carbonaceous chondrites are the most primitive material present in the solar system, and some of their subtypes, the CM and CI chondrites, contain up to 2 wt% of organic carbon. The CM2 carbonaceous chondrites contain a wide variety of complex amino acids, while the CI meteorites Orgueil and Ivuna display a much simpler composition, with only glycin, and beta-alanine present in significant abundances. CM1 carbonaceous chondrites show a higher degree of aqueous alteration than CM2 types and therefore provide an important link between the CM2 and CI1 carbonaceous chondrites. Relative amino acid concentrations have been shown to be indicative for parent body processes with respect to the formation of this class of compounds. In order to understand the relationship of the amino acid composition between these three types of meteorites, we have analyzed for the first time three Antarctic CM1 chondrites, Meteorite Hills (MET) 01070, Allan Hills (ALH) 88045, and LaPaz Icefield (LAP) 02277, using gas chromatography-mass spectrometry (GC-MS) and high performance liquid chromatography-fluorescence detection (HPLC-FD). The concentrations of the eight most abundant amino acids in these meteorites were compared to those of the CM2s Murchison, Murray, Mighei, Lewis Cliff (LEW) 90500, ALH 83100, as well as the CI1 Orgueil and Ivuna. The total amino acid concentration in CM1 carbonaceous chondrites was found to be much lower than the average of the CM2s. Relative amino acid abundances were compared in order to identify synthetic relationships between the amino acid compositions in these meteorite classes. Our data support the hypothesis that amino acids in CM- and CI-type meteorites were synthesized under different physical and chemical conditions and may best be explained with differences in the abundances of precursor compounds in the source regions of their parent bodies in combination with the decomposition of amino acids during extended aqueous alteration.</t>
  </si>
  <si>
    <t>NASA, Goddard Space Flight Ctr, Greenbelt, MD 20771 USA; Univ Maryland Baltimore Cty, Goddard Earth Sci &amp; Technol Ctr, Catonsville, MD 21228 USA; Leiden Univ, Leiden Inst Chem, Astrobiol Lab, NL-2300 RA Leiden, Netherlands</t>
  </si>
  <si>
    <t>National Aeronautics &amp; Space Administration (NASA); NASA Goddard Space Flight Center; University System of Maryland; University of Maryland Baltimore County; Leiden University - Excl LUMC; Leiden University</t>
  </si>
  <si>
    <t>Botta, O (corresponding author), Int Space Sci Inst, Hallerstasse 6, CH-3012 Bern, Switzerland.</t>
  </si>
  <si>
    <t>botta@issibern.ch</t>
  </si>
  <si>
    <t>Martins, Zita/H-4860-2015</t>
  </si>
  <si>
    <t>Martins, Zita/0000-0002-5420-1081</t>
  </si>
  <si>
    <t>10.1111/j.1945-5100.2007.tb00219.x</t>
  </si>
  <si>
    <t>WOS:000243351600007</t>
  </si>
  <si>
    <t>Säwström, C; Anesio, MA; Granéli, W; Laybourn-Parry, J</t>
  </si>
  <si>
    <t>Sawstrom, Christin; Anesio, M. Alexandre; Graneli, Wilhelm; Laybourn-Parry, Johanna</t>
  </si>
  <si>
    <t>Seasonal viral loop dynamics in two large ultraoligotrophic Antarctic freshwater lakes</t>
  </si>
  <si>
    <t>MICROBIAL ECOLOGY</t>
  </si>
  <si>
    <t>INDUCED BACTERIAL MORTALITY; BACTERIOPLANKTON PRODUCTION; PROPHAGE INDUCTION; GROWTH EFFICIENCY; MARINE VIRUSES; LYSOGENY; LYSIS; MECHANISMS; PATTERNS; PLANKTON</t>
  </si>
  <si>
    <t>The effect of viruses on the microbial loop, with particular emphasis on bacteria, was investigated over an annual cycle in 2003-2004 in Lake Druzhby and Crooked Lake, two large ultraoligotrophic freshwater lakes in the Vestfold Hills, Eastern Antarctica. Viral abundance ranged from 0.16 to 1.56 x 10(9) particles L-1 and bacterial abundances ranged from 0.10 to 0.24 x 10(9) cells L-1; with the lowest bacterial abundances noted in the winter months. Virus-to-bacteria ratios (VBR) were consistently low in both lakes throughout the season, ranging from 1.2 to 8.4. lysogenic bacteria, determined by induction with mitomycin C, were detected on three sampling occasions out of 10 in both lakes. In Lake Druzhby and Crooked Lake, lysogenic bacteria made up between 18% and 73% of the total bacteria population during the lysogenic events. Bacterial production ranged from 8.2 to 304.9 x 10(6) cells L-1 day(-1) and lytic viral production ranged from 47.5 to 718.4 x 10(6) viruslike particles L-1 day(-1). When only considering primary production, heterotrophic nanoflagellate (HNF) grazing and viral lysis as the major contributors to the DOC pool (i.e., autochthonous sources), we estimated a high contribution from viruses during the winter months when &gt; 60% of the carbon supplied to the DOC pool originated from viral lysis. In contrast, during the summer &lt; 20% originated from viral lysis. Our study shows that viral process in ultraoligotrophic Antarctic lakes may be of quantitative significance with respect to carbon flow especially during the dark winter period.</t>
  </si>
  <si>
    <t>Umea Univ, Dept Ecol &amp; Environm Sci, CIRC, SE-90187 Umea, Sweden; Univ Wales, Inst Biol Sci, Aberystwyth SY23 3DA, Dyfed, Wales; Lund Univ, Dept Limnol, S-22362 Lund, Sweden; Univ Keele, Inst Environm Phys Sci &amp; Appl Math, Keele ST5 5BG, Staffs, England</t>
  </si>
  <si>
    <t>Umea University; Aberystwyth University; Lund University; Keele University</t>
  </si>
  <si>
    <t>0095-3628</t>
  </si>
  <si>
    <t>1432-184X</t>
  </si>
  <si>
    <t>MICROB ECOL</t>
  </si>
  <si>
    <t>Microb. Ecol.</t>
  </si>
  <si>
    <t>10.1007/s00248-006-9146-5</t>
  </si>
  <si>
    <t>Ecology; Marine &amp; Freshwater Biology; Microbiology</t>
  </si>
  <si>
    <t>Environmental Sciences &amp; Ecology; Marine &amp; Freshwater Biology; Microbiology</t>
  </si>
  <si>
    <t>131YM</t>
  </si>
  <si>
    <t>WOS:000243908700001</t>
  </si>
  <si>
    <t>Yasuhara, M; Kato, M; Ikeya, N; Seto, K</t>
  </si>
  <si>
    <t>Yasuhara, Moriaki; Kato, Masako; Ikeya, Noriyuki; Seto, Koji</t>
  </si>
  <si>
    <t>Modern benthic ostracodes from Lutzow-Holm, Bay, East Antarctica: paleoceanographic, paleobiogeographic, and evolutionary significance</t>
  </si>
  <si>
    <t>MICROPALEONTOLOGY</t>
  </si>
  <si>
    <t>BUENOS-AIRES PROVINCE; SEDIMENT CORES; BAHIA BLANCA; ROSS-ISLAND; SANTA-CRUZ; HOLOCENE; OCEAN; PALEOENVIRONMENTS; OLIGOCENE; BIODIVERSITY</t>
  </si>
  <si>
    <t>Seventy-three ostracode species from 38 genera were recovered from the 55 surface sediment samples in Lutzow-Holm Bay, northeastern Antarctica. We investigated bathymetric and geographic distributions of modern benthic ostracode species in the bay and compared this fauna with published modern and fossil ostracode data of Antarctic and southern South American regions. The results show: (1) Four biotopes and three sub-biotopes are recognized based on Q-mode cluster analysis, which suggest distributions of modem ostracodes are mainly controlled by water-mass structure, ice scouring, and light availability. (2) Comparison between the Lutow-Holm Bay fauna and other ostracode faunas from Antarctica and southern South America shows high endemism and homogeneity of Antarctic ostracode fauna, suggesting in situ evolution of most extant Antarctic species. (3) Most species are endemic to the Antarctica, a few species also inhabit South American waters.</t>
  </si>
  <si>
    <t>[Yasuhara, Moriaki] US Geol Survey, Reston, VA 20192 USA; [Kato, Masako; Ikeya, Noriyuki] Shizuoka Univ, Fac Sci, Inst Geosci, Shizuoka 4228529, Japan; [Seto, Koji] Shimane Univ, Res Ctr Coastal Lagoon Environm, Matsue, Shimane 6908504, Japan</t>
  </si>
  <si>
    <t>United States Department of the Interior; United States Geological Survey; Shizuoka University; Shimane University</t>
  </si>
  <si>
    <t>Yasuhara, M (corresponding author), Smithsonian Inst, Dept Paleobiol, Natl Museum Nat Hist, Washington, DC 20013 USA.</t>
  </si>
  <si>
    <t>moriakiyasuhara@gmail.com</t>
  </si>
  <si>
    <t>Yasuhara, Moriaki/A-4986-2008</t>
  </si>
  <si>
    <t>Yasuhara, Moriaki/0000-0003-0990-1764</t>
  </si>
  <si>
    <t>MICRO PRESS</t>
  </si>
  <si>
    <t>FLUSHING</t>
  </si>
  <si>
    <t>6530 KISSENA BLVD, FLUSHING, NY 11367 USA</t>
  </si>
  <si>
    <t>0026-2803</t>
  </si>
  <si>
    <t>1937-2795</t>
  </si>
  <si>
    <t>Micropaleontology</t>
  </si>
  <si>
    <t>10.2113/gsmicropal.53.6.469</t>
  </si>
  <si>
    <t>Paleontology</t>
  </si>
  <si>
    <t>281LF</t>
  </si>
  <si>
    <t>WOS:000254498100004</t>
  </si>
  <si>
    <t>Zhou, CX; E, DC; Wang, ZM</t>
  </si>
  <si>
    <t>Zhang, TX; Nardell, C; Smith, D; Lu, HQ</t>
  </si>
  <si>
    <t>Zhou Chunxia; E Dongchen; Wang Zemin</t>
  </si>
  <si>
    <t>Preliminary study on ice crevasse texture analysis and recognition</t>
  </si>
  <si>
    <t>MIPPR 2007: AUTOMATIC TARGET RECOGNITION AND IMAGE ANALYSIS; AND MULTISPECTRAL IMAGE ACQUISITION, PTS 1 AND 2</t>
  </si>
  <si>
    <t>5th International Symposium on Multispectral Image Processing and Pattern Recognition</t>
  </si>
  <si>
    <t>NOV 15-17, 2007</t>
  </si>
  <si>
    <t>Wuhan Univ, Wuhan, PEOPLES R CHINA</t>
  </si>
  <si>
    <t>Wuhan Univ</t>
  </si>
  <si>
    <t>ice crevasse; texture analysis; gray level co-occurrence matrix</t>
  </si>
  <si>
    <t>The Antarctic is in very close relationship with the global climate, ecology environment, and the future of the human being. And it is unscientific to explore the Antarctic without any touch. While, crevasse is one of the most dangerous factors to the team members during the field expedition. Crevasse detection is very important in polar scientific research expedition for the safety; meanwhile, it is also meaningful information for ice flow monitoring. This paper presents the preliminary study on ice crevasse texture analysis and recognition based on SPOT image and coherence map derived from SAR image of Grove Mountains, east Antarctica. Since radar can penetrate the snow, it can detect the crevasse under the snow which can't be detected by optical satellite data. Based on the texture characteristics, gray level co-occurrence matrix is chosen at first to recognize the crevasse in SPOT image and coherence map respectively. And the results and the difference are analyzed. Optical and radar imagery both are valuable, however, there is no single sensor that gives 100 percent of the crevasses. Meanwhile, gray level co-occurrence matrix method can not detect the crevasse at 100 percent accuracy. More texture analysis method will be studied in further research.</t>
  </si>
  <si>
    <t>[Zhou Chunxia; E Dongchen; Wang Zemin] Wuhan Univ, CACSM, Wuhan 430079, Peoples R China</t>
  </si>
  <si>
    <t>Zhou, CX (corresponding author), Wuhan Univ, CACSM, Wuhan 430079, Peoples R China.</t>
  </si>
  <si>
    <t>zhoucx@whu.edu.cn</t>
  </si>
  <si>
    <t>ZeMin, Wang/AAU-3422-2020</t>
  </si>
  <si>
    <t>978-0-8194-6950-2</t>
  </si>
  <si>
    <t>67864D</t>
  </si>
  <si>
    <t>10.1117/12.751177</t>
  </si>
  <si>
    <t>Remote Sensing; Optics; Imaging Science &amp; Photographic Technology</t>
  </si>
  <si>
    <t>BHK04</t>
  </si>
  <si>
    <t>WOS:000253700100156</t>
  </si>
  <si>
    <t>Little, LR; Begg, GA; Goldman, B; Ellis, N; Mapstone, BD; Punt, AE</t>
  </si>
  <si>
    <t>Oxley, L; Kulasiri, D</t>
  </si>
  <si>
    <t>Little, L. R.; Begg, G. A.; Goldman, B.; Ellis, N.; Mapstone, B. D.; Punt, A. E.</t>
  </si>
  <si>
    <t>Area Closures as a Management Tool In A Multi-Species Coral Reef Line Fishery</t>
  </si>
  <si>
    <t>MODSIM 2007: INTERNATIONAL CONGRESS ON MODELLING AND SIMULATION: LAND, WATER AND ENVIRONMENTAL MANAGEMENT: INTEGRATED SYSTEMS FOR SUSTAINABILITY</t>
  </si>
  <si>
    <t>International Congress on Modelling and Simulation (MODSIM07)</t>
  </si>
  <si>
    <t>DEC 10-13, 2007</t>
  </si>
  <si>
    <t>Christchurch, NEW ZEALAND</t>
  </si>
  <si>
    <t>marine protected areas; marine reserves; fisheries management</t>
  </si>
  <si>
    <t>MARINE RESERVES</t>
  </si>
  <si>
    <t>The multi-species, spatially structured nature of coral reef fisheries makes them difficult to manage. Closing areas to fishing is one strategy that has been advocated and implemented in many coral reef fisheries, including the Great Barrier Reef, Australia. Using a simulation model, we examine the effect of different amounts of area closure and effort on the fishery and stock of two important species on</t>
  </si>
  <si>
    <t>[Little, L. R.; Punt, A. E.] CSIRO Marine &amp; Atmospher Res, GPO Box 1538, Hobart, Tas, Australia; [Little, L. R.] Australian Natl Univ, Crawford Sch Econ &amp; Govt, Canberra, ACT 0200, Australia; [Begg, G. A.; Goldman, B.] James Cook Univ, CRC Reef Res Ctr, Townsville, Qld, Australia; [Begg, G. A.; Goldman, B.] James Cook Univ, Sch Earth &amp; Environm Sci, Townsville, Qld, Australia; [Begg, G. A.] Australian Fisheries Management Author, Canberra, ACT 2610, Australia; [Ellis, N.] CSIRO Marine &amp; Atmospher Res, Cleveland, Qld, Australia; [Mapstone, B. D.] Univ Tasmania, Antarctic Climate &amp; Ecosyst CRC, Hobart, Tas, Australia; [Punt, A. E.] Univ Washington, Sch Aquat &amp; Fishery Sci, Seattle, WA 98195 USA</t>
  </si>
  <si>
    <t>Commonwealth Scientific &amp; Industrial Research Organisation (CSIRO); Australian National University; James Cook University; James Cook University; Commonwealth Scientific &amp; Industrial Research Organisation (CSIRO); University of Tasmania; University of Washington; University of Washington Seattle</t>
  </si>
  <si>
    <t>Little, LR (corresponding author), CSIRO Marine &amp; Atmospher Res, GPO Box 1538, Hobart, Tas, Australia.</t>
  </si>
  <si>
    <t>Rich.Little@csiro.au</t>
  </si>
  <si>
    <t>Little, Rich/E-7578-2011; Ellis, Nick/B-4310-2009</t>
  </si>
  <si>
    <t>Little, Rich/0000-0002-5650-7391; Punt, Andre/0000-0001-8489-2488; Ellis, Nick/0000-0001-8761-5128</t>
  </si>
  <si>
    <t>CRC Reef Research; Fisheries Research and Development Corp.; Great Barrier Reef Marine Park Authority; CSIRO Marine and Atmospheric Research</t>
  </si>
  <si>
    <t>CRC Reef Research; Fisheries Research and Development Corp.; Great Barrier Reef Marine Park Authority; CSIRO Marine and Atmospheric Research(Commonwealth Scientific &amp; Industrial Research Organisation (CSIRO))</t>
  </si>
  <si>
    <t>We thank the Queensland Fisheries Service for providing anonymous catch and effort data from the Reef Line Fishery. Funding for this project was provided by the CRC Reef Research, the Fisheries Research and Development Corp., the Great Barrier Reef Marine Park Authority and CSIRO Marine and Atmospheric Research. This paper is a contribution from the Effects of Line Fishing Project.</t>
  </si>
  <si>
    <t>MODELLING &amp; SIMULATION SOC AUSTRALIA &amp; NEW ZEALAND INC</t>
  </si>
  <si>
    <t>CHRISTCHURCH</t>
  </si>
  <si>
    <t>MSSANZ, CHRISTCHURCH, 00000, NEW ZEALAND</t>
  </si>
  <si>
    <t>978-0-9758400-4-7</t>
  </si>
  <si>
    <t>Computer Science, Information Systems; Ecology; Environmental Sciences; Multidisciplinary Sciences</t>
  </si>
  <si>
    <t>Computer Science; Environmental Sciences &amp; Ecology; Science &amp; Technology - Other Topics</t>
  </si>
  <si>
    <t>BUQ25</t>
  </si>
  <si>
    <t>WOS:000290030702123</t>
  </si>
  <si>
    <t>Muschiol, D; Traunspurger, W</t>
  </si>
  <si>
    <t>Muschiol, Daniel; Traunspurger, Walter</t>
  </si>
  <si>
    <t>Life cycle and calculation of the intrinsic rate of natural increase of two bacterivorous nematodes, Panagrolaimus sp and Poikilolaimus sp from chemoautotrophic Movile Cave, Romania</t>
  </si>
  <si>
    <t>NEMATOLOGY</t>
  </si>
  <si>
    <t>age-specific fecundity; biofilm; culture medium; generation time; life tables; microbial mat; population growth; somatic growth</t>
  </si>
  <si>
    <t>FREE-LIVING NEMATODES; CAENORHABDITIS-BRIGGSAE NEMATODA; BRACKISH-WATER NEMATODES; FOOD DEPENDENCE; ANTARCTIC NEMATODE; POPULATION-GROWTH; ENERGETICS; MARINE; RESPIRATION; TEMPERATURE</t>
  </si>
  <si>
    <t>The life cycle and somatic growth of two bacterivorous nematodes, Panagrolaimus sp. and Poikilolaimus sp., isolated from chemoautotrophic microbial mats in Movile Cave, Romania, were studied in monoxenic cultures at 20 degrees C with Escherichia coli as the food source. A method is described that allows simultaneous investigation of the somatic growth pattern, age-specific fecundity, and age-specific mortality of single individuals with high accuracy. Somatic growth curves of the species are presented. During juvenile development, both species showed a strict linear increase in body length, whereas body weight increased exponentially. Growth was continuous without lag phases. The relationships between fresh weight, W (mu g), and body length, L (mm), were W = 1.6439L(2.7672) for Poikilolaimus sp. and W = 0.2085L(4.0915) for Panagrolaimus sp. Life tables and fecundity schedules for the two species are presented. In addition, demographic parameters were calculated. For Panagrolaimus, the intrinsic rate of natural increase (rn,), calculated according to the Lotka equation, was 0.309, the net reproductive rate (RO) 64, the mean generation time (T) 13.8 days and the minimum generation time (T-min) 9.5 days. The corresponding values for Poikilolaimus were r(m) = 0. 165, R-0 = 108, T = 26.2 and T-min = 19.5. Panagrolaimus produced fewer progeny than Poikilolaimus during its life but exhibited faster population growth due to its faster maturation. It showed a distinct post-reproductive period, whereas Poikilolaimus remained fertile until death.</t>
  </si>
  <si>
    <t>Univ Bielefeld, D-33615 Bielefeld, Germany</t>
  </si>
  <si>
    <t>University of Bielefeld</t>
  </si>
  <si>
    <t>Muschiol, D (corresponding author), Univ Bielefeld, Morgenbreede 45, D-33615 Bielefeld, Germany.</t>
  </si>
  <si>
    <t>daniel.muschiol@uni-bielefeld.de</t>
  </si>
  <si>
    <t>Traunspurger, Walter/KGL-7190-2024</t>
  </si>
  <si>
    <t>Traunspurger, Walter/0000-0002-9828-8430</t>
  </si>
  <si>
    <t>BRILL</t>
  </si>
  <si>
    <t>LEIDEN</t>
  </si>
  <si>
    <t>PLANTIJNSTRAAT 2, P O BOX 9000, 2300 PA LEIDEN, NETHERLANDS</t>
  </si>
  <si>
    <t>1388-5545</t>
  </si>
  <si>
    <t>Nematology</t>
  </si>
  <si>
    <t>10.1163/156854107780739117</t>
  </si>
  <si>
    <t>197FO</t>
  </si>
  <si>
    <t>WOS:000248540200012</t>
  </si>
  <si>
    <t>Powell, DA</t>
  </si>
  <si>
    <t>Powell, D. A.</t>
  </si>
  <si>
    <t>'Scenes from the trip we didn't take to the antarctic'</t>
  </si>
  <si>
    <t>NEW ENGLAND REVIEW-MIDDLEBURY SERIES</t>
  </si>
  <si>
    <t>Poetry</t>
  </si>
  <si>
    <t>Univ San Francisco, Dept English, San Francisco, CA 94117 USA</t>
  </si>
  <si>
    <t>University of San Francisco</t>
  </si>
  <si>
    <t>Powell, DA (corresponding author), Univ San Francisco, Dept English, San Francisco, CA 94117 USA.</t>
  </si>
  <si>
    <t>MIDDLEBURY COLL PUBLICATIONS</t>
  </si>
  <si>
    <t>MIDDLEBURY</t>
  </si>
  <si>
    <t>MIDDLEBURY COLLEGE, MIDDLEBURY, VT 05753 USA</t>
  </si>
  <si>
    <t>1053-1297</t>
  </si>
  <si>
    <t>NEW ENGL REV-MIDDLEB</t>
  </si>
  <si>
    <t>New Engl. Rev.-Middlebury Ser.</t>
  </si>
  <si>
    <t>Literary Reviews</t>
  </si>
  <si>
    <t>Arts &amp; Humanities Citation Index (A&amp;HCI)</t>
  </si>
  <si>
    <t>Literature</t>
  </si>
  <si>
    <t>248FO</t>
  </si>
  <si>
    <t>WOS:000252137900015</t>
  </si>
  <si>
    <t>Upson, R; Read, DJ; Newsham, KK</t>
  </si>
  <si>
    <t>Upson, R.; Read, D. J.; Newsham, K. K.</t>
  </si>
  <si>
    <t>Widespread association between the ericoid mycorrhizal fungus Rhizoscyphus ericae and a leafy liverwort in the maritime and sub-Antarctic</t>
  </si>
  <si>
    <t>NEW PHYTOLOGIST</t>
  </si>
  <si>
    <t>Cephaloziella varians; dark septate endophyte; ericoid mycorrhiza; liverwort; maritime and sub-Antarctica; Rhizoscyphus ericae</t>
  </si>
  <si>
    <t>RHIZOID-ASCOMYCETE ASSOCIATIONS; IDENTIFICATION; HEPATICS; PCR</t>
  </si>
  <si>
    <t>A recent study identified a fungal isolate from the Antarctic leafy liverwort Cephaloziella varians as the ericoid mycorrhizal associate Rhizoscyphus ericae. However, nothing is known about the wider Antarctic distribution of R. ericae in C. varians, and inoculation experiments confirming the ability of the fungus to form coils in the liverwort are lacking. Using direct isolation and baiting with Vaccinium macrocarpon seedlings, fungi were isolated from C. varians sampled from eight sites across a 1875-km transect through sub- and maritime Antarctica. The ability of an isolate to form coils in aseptically grown C. varians was also tested. Fungi with 98-99% sequence identity to R. ericae internal transcribed spacer (ITS) region and partial large subunit ribosomal (r)DNA sequences were frequently isolated from C. varians at all sites sampled. The EF4/Fung5 primer set did not amplify small subunit rDNA from three of five R. ericae isolates, probably accounting for the reported absence of the fungus from C. varians in a previous study. Rhizoscyphus ericae was found to colonize aseptically-grown C. varians intracellularly, forming hyphal coils. This study shows that the association between R. ericae and C. varians is apparently widespread in Antarctica, and confirms that R. ericae is at least in part responsible for the formation of the coils observed in rhizoids of field-collected C. varians.</t>
  </si>
  <si>
    <t>British Antarctic Survey, Div Biol Sci, Nat Environm Res Council, Cambridge CB3 0ET, England; Univ Sheffield, Dept Anim &amp; Plant Sci, Sheffield S10 2TN, S Yorkshire, England</t>
  </si>
  <si>
    <t>UK Research &amp; Innovation (UKRI); Natural Environment Research Council (NERC); NERC British Antarctic Survey; University of Sheffield</t>
  </si>
  <si>
    <t>Newsham, KK (corresponding author), British Antarctic Survey, Div Biol Sci, Nat Environm Res Council, High Cross,Madingley Rd, Cambridge CB3 0ET, England.</t>
  </si>
  <si>
    <t>kne@bas.ac.uk</t>
  </si>
  <si>
    <t>Newsham, Kevin K/C-4192-2011; Read, David J/C-2454-2013</t>
  </si>
  <si>
    <t>0028-646X</t>
  </si>
  <si>
    <t>1469-8137</t>
  </si>
  <si>
    <t>NEW PHYTOL</t>
  </si>
  <si>
    <t>New Phytol.</t>
  </si>
  <si>
    <t>10.1111/j.1469-8137.2007.02178.x</t>
  </si>
  <si>
    <t>215ZA</t>
  </si>
  <si>
    <t>WOS:000249846300022</t>
  </si>
  <si>
    <t>Atkin, OK; Scheurwater, I; Pons, TL</t>
  </si>
  <si>
    <t>Atkin, O. K.; Scheurwater, I.; Pons, T. L.</t>
  </si>
  <si>
    <t>Respiration as a percentage of daily photosynthesis in whole plants is homeostatic at moderate, but not high, growth temperatures</t>
  </si>
  <si>
    <t>acclimation; biomass allocation; CO2; Plantago; photosynthesis; respiration; temperature</t>
  </si>
  <si>
    <t>ANTARCTIC VASCULAR PLANTS; LEAF DARK RESPIRATION; THERMAL-ACCLIMATION; ALTERNATIVE OXIDASE; CO2 CONCENTRATION; SOIL-TEMPERATURE; ROOT RESPIRATION; SPECIES DIFFER; SHORT-TERM; LONG-TERM</t>
  </si>
  <si>
    <t>Here, we investigated the impact of temperature on the carbon economy of two Plantago species from contrasting habitats. The lowland Plantago major and the alpine Plantago euryphylla were grown hydroponically at three constant temperatures: 13, 20 and 27 degrees C. Rates of photosynthetic CO2 uptake (P) and respiratory CO2 release (R) in shoots and R in roots were measured at the growth temperature using intact plants. At each growth temperature, air temperatures were changed to establish short-term temperature effects on the ratio of R to P (R/P). In both species, R/P was essentially constant in plants grown at 13 and 20 degrees C. However, R/P was substantially greater in 27 degrees C-grown plants, particularly in P. euryphylla. The increase in R/P at 27 degrees C would have been even greater had biomass allocation to roots not decreased with increasing growth temperature. Short-term increases in air temperature increased R/P in both species, with the effects of air temperature being most pronounced in 13 degrees C-grown plants. We conclude that temperature-mediated changes in biomass allocation play an important role in determining whole-plant R/P values, and, while homeostasis of R/P is achieved across moderate growth temperatures, homeostasis is not maintained when plants are exposed to growth temperatures higher than usually experienced in the natural habitat.</t>
  </si>
  <si>
    <t>Univ York, Dept Biol, York YO10 5YW, N Yorkshire, England; Univ Utrecht, Dept Plant Ecophysiol, NL-3508 TB Utrecht, Netherlands</t>
  </si>
  <si>
    <t>University of York - UK; Utrecht University</t>
  </si>
  <si>
    <t>Atkin, OK (corresponding author), Univ York, Dept Biol, POB 373, York YO10 5YW, N Yorkshire, England.</t>
  </si>
  <si>
    <t>OKA1@york.ac.uk</t>
  </si>
  <si>
    <t>Atkin, Owen/O-2671-2019</t>
  </si>
  <si>
    <t>Atkin, Owen/0000-0003-1041-5202</t>
  </si>
  <si>
    <t>10.1111/j.1469-8137.2007.02011.x</t>
  </si>
  <si>
    <t>153EF</t>
  </si>
  <si>
    <t>WOS:000245413900019</t>
  </si>
  <si>
    <t>Agnisola, C; Pellegrino, D</t>
  </si>
  <si>
    <t>Tota, B; Trimmer, B</t>
  </si>
  <si>
    <t>Agnisola, Claudio; Pellegrino, Daniela</t>
  </si>
  <si>
    <t>Role of nitric oxide in vascular regulation in fish</t>
  </si>
  <si>
    <t>NITRIC OXIDE</t>
  </si>
  <si>
    <t>Advances in Experimental Biology</t>
  </si>
  <si>
    <t>(cardio) vascular system; acethylcholine; calmodulin; coronary arteries; deoxyhemoglobin; endothelium; eNOS; fish gill; hypoxia; immunofluorescence; NADPH-diaphorase; nitrite; fish larvae; NOS localization; serotonin; shear stress; soluble guanylyl cyclase (sGC); trout; vascular resistance; zebrafish</t>
  </si>
  <si>
    <t>TROUT ONCORHYNCHUS-MYKISS; TELEOST OREOCHROMIS-NILOTICUS; CEREBRAL-BLOOD-FLOW; ANGIOTENSIN-CONVERTING ENZYME; CUTTLEFISH SEPIA-OFFICINALIS; CALCIUM-ION DEPENDENCE; ENTERIC NERVOUS-SYSTEM; NADPH-DIAPHORASE; RAINBOW-TROUT; ATLANTIC SALMON</t>
  </si>
  <si>
    <t>Nitric oxide (NO) is one of the oldest signaling molecules in animals, which acts as an intercellular and intracellular messenger in a multitude of cell types. Its role in the vascular biology of terrestrial vertebrates, particularly in mammals, is well established and extensively documented. This review article deals with the occurrence and effects of NO in the fish vascular system. In fish, the information regarding the roles of NO in the control of vascular resistance is surprisingly scanty; on the other hand, there is increasing evidence for a role for the NO synthase (NOS)/NO system in this highly diverse group of animals. Many authors have reported the occurrence and localization of both constitutive and inducible NOS (iNOS) isoforms in fish tissues, including gills and heart. Endothelial NOS (eNOS) has been detected in the vascular and endocardial endothelium of eel and some Antarctic fish, as well as in the endothelial cells of developing zebrafish. Evidence has been also reported for NOS-independent NO production, and particularly on the conversion of nitrite to NO by erythrocytes under conditions of hypoxia. The functional roles (vascular effects) of NO in developing and adult fish have been investigated. Studies on various fish species show results specific to the species or to the particular vascular preparation used. Fish appear to be an ideal model for studying the conservation and diversity of the functional roles of NO in the control of vascular resistance.</t>
  </si>
  <si>
    <t>[Agnisola, Claudio] Univ Naples Federico II, Dipartimento Sci Biol, I-80134 Naples, Italy; [Pellegrino, Daniela] Univ Calabria, Dipartimento Farmacobiol, I-87036 Cosenza, Italy</t>
  </si>
  <si>
    <t>University of Naples Federico II; University of Calabria</t>
  </si>
  <si>
    <t>Agnisola, C (corresponding author), Univ Naples Federico II, Dipartimento Sci Biol, Via Mezzocannone 8, I-80134 Naples, Italy.</t>
  </si>
  <si>
    <t>agnisola@unina.it</t>
  </si>
  <si>
    <t>Pellegrino, Daniela/0000-0002-9815-5195; AGNISOLA, Claudio/0000-0003-1382-3498</t>
  </si>
  <si>
    <t>ELSEVIER NORTH HOLLAND</t>
  </si>
  <si>
    <t>PO BOX 211, 1000 AE AMSTERDAM, NETHERLANDS</t>
  </si>
  <si>
    <t>1872-2423</t>
  </si>
  <si>
    <t>978-0-08-054620-9</t>
  </si>
  <si>
    <t>ADV EXP BIOL</t>
  </si>
  <si>
    <t>10.1016/S1872-2423(07)01013-7</t>
  </si>
  <si>
    <t>Biology</t>
  </si>
  <si>
    <t>Life Sciences &amp; Biomedicine - Other Topics</t>
  </si>
  <si>
    <t>BCU83</t>
  </si>
  <si>
    <t>WOS:000311536600014</t>
  </si>
  <si>
    <t>Tota, B; Imbrogno, S; Mazza, R; Gattuso, A</t>
  </si>
  <si>
    <t>Tota, Bruno; Imbrogno, Sandra; Mazza, Rosa; Gattuso, Alfonsina</t>
  </si>
  <si>
    <t>NOS distribution and NO control of cardiac performance in fish and amphibian hearts</t>
  </si>
  <si>
    <t>amphibians; avascular heart; chemical stimulation; endocardial endothelium; Frank-Starling response; lungfish; nitric oxide; NOS isoforms; stroke volume; teleosts</t>
  </si>
  <si>
    <t>NITRIC-OXIDE SYNTHASE; ENDOCARDIAL ENDOTHELIUM; ANGIOTENSIN-II; VENTRICULAR MYOCARDIUM; CHIONODRACO-HAMATUS; ANTARCTIC TELEOSTS; SPATIAL CONFINEMENT; NEGATIVE INOTROPY; AVASCULAR HEART; CELL-FUNCTION</t>
  </si>
  <si>
    <t>Nitric oxide (NO), generated endogenously by a family of NO synthases (NOS) in the heart, has important autocrine-paracrine effects on cardiac function, modulating the inotropic state, excitation-contraction coupling, diastolic function, heart rate and beta-adrenergic responsiveness. Fish and amphibian hearts share common structural and functional aspects with higher vertebrates, while differing in relevant ultrastructural, myoarchitectural, vascular and pumping features. This synopsis deals with cardiac NOS expression and localization in phylogenetically and eco-physiologically different teleost species, as well as in lungfish and frog, thus documenting the long evolutionary history of cardiac NO. In particular, the role of NO in the mechanical performance of teleost and frog hearts, both in the absence (i.e., unstimulated heart preparations) and in the presence of physical (i.e., load changes) and chemical (inotropic agonists) stimuli, is analysed. Using teleost and amphibian hearts as natural models in which the coronary system is absent, or scarcely present, the importance of an endocardial endothelium (EE) NO-mediated intracavitary control of mechanical performance is emphasized. This highlights the ancient autocrine-paracrine role of the cardiac NOS/NO system during the evolution of the poikilotherm vertebrate heart.</t>
  </si>
  <si>
    <t>[Tota, Bruno; Imbrogno, Sandra; Mazza, Rosa; Gattuso, Alfonsina] Univ Calabria, Dept Cell Biol, I-87030 Arcavacata Di Rende, CS, Italy</t>
  </si>
  <si>
    <t>University of Calabria</t>
  </si>
  <si>
    <t>Tota, B (corresponding author), Univ Calabria, Dept Cell Biol, Via P Bucci, I-87030 Arcavacata Di Rende, CS, Italy.</t>
  </si>
  <si>
    <t>tota@unical.it</t>
  </si>
  <si>
    <t>gattuso, alfonsina/ISS-5286-2023</t>
  </si>
  <si>
    <t>Imbrogno, Sandra/0000-0002-3389-4085; GATTUSO, ALFONSINA/0000-0002-4908-0633; Mazza, Rosa/0000-0002-8699-4012</t>
  </si>
  <si>
    <t>10.1016/S1872-2423(07)01014-9</t>
  </si>
  <si>
    <t>WOS:000311536600015</t>
  </si>
  <si>
    <t>Chmel, A; Kuksenko, VS; Smirnov, VS; Tomilin, NG</t>
  </si>
  <si>
    <t>Chmel, A.; Kuksenko, V. S.; Smirnov, V. S.; Tomilin, N. G.</t>
  </si>
  <si>
    <t>Anomalies of critical state in fracturing geophysical objects</t>
  </si>
  <si>
    <t>NONLINEAR PROCESSES IN GEOPHYSICS</t>
  </si>
  <si>
    <t>SELF-ORGANIZED CRITICALITY; ROCK FRACTURE; ICE; COMPLEXITY; HIERARCHY; DYNAMICS; RUPTURE</t>
  </si>
  <si>
    <t>Non-linear time-sequences of fracture-related events were studied in drifting sea-ice and fracturing rock. A reversible drop of the b-value was detected prior to the largescale sea-ice cover fragmentation, when the time sequence of impact interactions between ice-fields was fully decorrelated. A similar loss of the temporal invariance of the fracture process was revealed in the time sequence of microfracture events detected in a loaded rock sample. These temporal gaps in the continuous critical state of the considered self-organizing, open systems were attributed to the property of hierarchicity inherent in the geophysical objects. A combination of scaling and hierarchic features in the behavior of fracturing solids manifests itself in the heterogeneity of the temporal pattern of fracture process.</t>
  </si>
  <si>
    <t>Russian Acad Sci, AF Ioffe Physicotech Inst, St Petersburg 194021, Russia; Arctic &amp; Antarctic Res Inst, St Petersburg 19937, Russia</t>
  </si>
  <si>
    <t>Russian Academy of Sciences; St. Petersburg Scientific Centre of the Russian Academy of Sciences; Ioffe Physical Technical Institute; Arctic &amp; Antarctic Research Institute</t>
  </si>
  <si>
    <t>Chmel, A (corresponding author), Russian Acad Sci, AF Ioffe Physicotech Inst, St Petersburg 194021, Russia.</t>
  </si>
  <si>
    <t>chmel@mail.ioffe.ru</t>
  </si>
  <si>
    <t>Kuksenko, Victor V. S./M-7793-2014</t>
  </si>
  <si>
    <t>1023-5809</t>
  </si>
  <si>
    <t>1607-7946</t>
  </si>
  <si>
    <t>NONLINEAR PROC GEOPH</t>
  </si>
  <si>
    <t>Nonlinear Process Geophys.</t>
  </si>
  <si>
    <t>10.5194/npg-14-103-2007</t>
  </si>
  <si>
    <t>Geosciences, Multidisciplinary; Mathematics, Interdisciplinary Applications; Meteorology &amp; Atmospheric Sciences; Physics, Fluids &amp; Plasmas</t>
  </si>
  <si>
    <t>Geology; Mathematics; Meteorology &amp; Atmospheric Sciences; Physics</t>
  </si>
  <si>
    <t>179RU</t>
  </si>
  <si>
    <t>WOS:000247308600001</t>
  </si>
  <si>
    <t>Abel, GA; Freeman, MP; Chisham, G; Watkins, NW</t>
  </si>
  <si>
    <t>Abel, G. A.; Freeman, M. P.; Chisham, G.; Watkins, N. W.</t>
  </si>
  <si>
    <t>Investigating turbulent structure of ionospheric plasma velocity using the Halley SuperDARN radar</t>
  </si>
  <si>
    <t>SMALL-SCALE IRREGULARITIES; SOLAR-WIND EPSILON; F-REGION; DYNAMIC MAGNETOSPHERE; AVALANCHING SYSTEM; FIELD FLUCTUATIONS; AE INDEXES; INTERMITTENCY; STATISTICS; AFFINITY</t>
  </si>
  <si>
    <t>We present a detailed analysis of the spatial structure of the ionospheric plasma velocity in the nightside F-region ionosphere, poleward of the open-closed magnetic field line boundary (OCB), i.e. in regions magnetically connected to the turbulent solar wind. We make use of spatially distributed measurements of the ionospheric plasma velocity made with the Halley Super Dual Auroral Radar Network (SuperDARN) radar between 1996 and 2003. We analyze the spatial structure of the plasma velocity using structure functions and P(0) scaling (where P(0) is the value of the probability density function at 0), which provide simple methods for deriving information about the scaling, intermittency and multi-fractal nature of the fluctuations. The structure functions can also be compared to values predicted by different turbulence models. We find that the limited range of velocity that can be measured by the Halley SuperDARN radar restricts our ability to calculate structure functions. We correct for this by using conditioning (removing velocity fluctuations with magnitudes larger than 3 standard deviations from our calculations). The resultant structure functions suggest that Kraichnan-Iroshnikov versions of P and log-normal models of turbulence best describe the velocity structure seen in the ionosphere.</t>
  </si>
  <si>
    <t>[Abel, G. A.; Freeman, M. P.; Chisham, G.; Watkins, N. W.] British Antarctic Survey, NERC, Cambridge CB3 0ET, England</t>
  </si>
  <si>
    <t>Abel, GA (corresponding author), British Antarctic Survey, NERC, High Cross,Madingley Rd, Cambridge CB3 0ET, England.</t>
  </si>
  <si>
    <t>gaab@bas.ac.uk</t>
  </si>
  <si>
    <t>Watkins, Nick/GPX-7439-2022; Abel, Gary/ABE-1765-2021; Watkins, Nicholas Wynn/C-5140-2008; Freeman, Mervyn/E-5687-2019</t>
  </si>
  <si>
    <t>Watkins, Nick/0000-0003-4484-6588; Abel, Gary/0000-0003-2231-5161; Watkins, Nicholas Wynn/0000-0003-4484-6588; Freeman, Mervyn/0000-0002-8653-8279</t>
  </si>
  <si>
    <t>Natural Environment Research Council [bas010021] Funding Source: researchfish; NERC [bas010021] Funding Source: UKRI</t>
  </si>
  <si>
    <t>10.5194/npg-14-799-2007</t>
  </si>
  <si>
    <t>246HO</t>
  </si>
  <si>
    <t>Green Submitted, gold, Green Accepted</t>
  </si>
  <si>
    <t>WOS:000251998300011</t>
  </si>
  <si>
    <t>Rastall, R</t>
  </si>
  <si>
    <t>Rastall, Robert</t>
  </si>
  <si>
    <t>Applications of cold-adapted proteases in the food industry</t>
  </si>
  <si>
    <t>NOVEL ENZYME TECHNOLOGY FOR FOOD APPLICATIONS</t>
  </si>
  <si>
    <t>Woodhead Publishing in Food Science Technology and Nutrition</t>
  </si>
  <si>
    <t>COD GADUS-MORHUA; ATLANTIC COD; SERINE PROTEINASE; ANTARCTIC KRILL; ENZYMES; TRYPSIN; PURIFICATION; SITE; IDENTIFICATION; EUPHAUSERASE</t>
  </si>
  <si>
    <t>[Rastall, Robert] Univ Reading, Reading RG6 2AH, Berks, England</t>
  </si>
  <si>
    <t>University of Reading</t>
  </si>
  <si>
    <t>Rastall, R (corresponding author), Sch Food Biosci, POB 226, Reading RG6 6AP, Berks, England.</t>
  </si>
  <si>
    <t>r.a.rastall@reading.ac.uk</t>
  </si>
  <si>
    <t>WOODHEAD PUBL LTD</t>
  </si>
  <si>
    <t>ABINGTON HALL ABINGTON, CAMBRIDGE CB1 6AH, CAMBS, ENGLAND</t>
  </si>
  <si>
    <t>2042-8049</t>
  </si>
  <si>
    <t>978-1-84569-371-8</t>
  </si>
  <si>
    <t>WOODHEAD PUBL FOOD S</t>
  </si>
  <si>
    <t>Woodhead Publ. Food Sci. Technol. Nutr.</t>
  </si>
  <si>
    <t>Food Science &amp; Technology</t>
  </si>
  <si>
    <t>BSI36</t>
  </si>
  <si>
    <t>WOS:000284532300011</t>
  </si>
  <si>
    <t>Jones, A; Slade, SJ; Williams, AJ; Vlapstone, BD; Kane, KJ</t>
  </si>
  <si>
    <t>Jones, A.; Slade, S. J.; Williams, A. J.; Vlapstone, B. D.; Kane, K. J.</t>
  </si>
  <si>
    <t>Pitfalls and benefits of involving industry in fisheries research: A case study of the live reef fish industry in Queensland, Australia</t>
  </si>
  <si>
    <t>OCEAN &amp; COASTAL MANAGEMENT</t>
  </si>
  <si>
    <t>PARTICIPATORY RESEARCH; COMANAGEMENT; MANAGEMENT; MORTALITY; LESSONS</t>
  </si>
  <si>
    <t>Including collaboration with industry members as an integral part of research activities is a relatively new approach to fisheries research. Earlier approaches to involving fishers in research usually involved compulsory accommodations of research, such as through compulsory observer programs, in which fishers were seen as subjects of rather than participants in research. This new approach brings with it significant potential benefits but also some unique issues both for the researchers and the participating industry members. In this paper we describe a research project involving the Queensland Coral Reef Finfish Fishery that originated from industry and community concerns about changes in marketing practices in an established commercial line fishery. A key aspect of this project was industry collaboration in all stages of the research, from formulation of objectives to assistance with interpretation of results. We discuss this research as a case study of some of the issues raised by collaboration between industry and research groups in fisheries research and the potential pitfalls and benefits of such collaborations for all parties. A dedicated liaison and extension strategy was a key element in the project to develop and maintain the relationships between fishers and researchers that were fundamental to the success of the collaboration. A major research benefit of the approach was the provision of information not available from other sources: 300 days of direct and unimpeded observation of commercial fishing by researchers; detailed catch and effort records from a further 126 fishing trips; and 53 interviews completed with fishers. Fishers also provided extensive operational information about the fishery as well as ongoing support for subsequent research projects. The time and resources required to complete the research in this consultative framework were greater than for more traditional, researcher-centric fisheries research, but the benefits gained far outweighed the costs. (c) 2006 Elsevier Ltd. All rights reserved.</t>
  </si>
  <si>
    <t>James Cook Univ, CRC, Reef Res Ctr, Townsville, Qld 4811, Australia; James Cook Univ, Sch Earth &amp; Environm Sci, Townsville, Qld 4811, Australia; Queensland Dept Primary Ind &amp; Fisheries, Brisbane, Qld 4001, Australia; Antarctic Climate &amp; Ecosyst CRC, Hobart, Tas 7001, Australia; Queensland Boating &amp; Fisheries Patrol, Airlie Beach, Qld 4802, Australia</t>
  </si>
  <si>
    <t>James Cook University; James Cook University; Queensland Department of Agriculture &amp; Fisheries; University of Tasmania</t>
  </si>
  <si>
    <t>Williams, AJ (corresponding author), James Cook Univ, CRC, Reef Res Ctr, Townsville, Qld 4811, Australia.</t>
  </si>
  <si>
    <t>ashley.williams@jcu.edu.au</t>
  </si>
  <si>
    <t>Williams, Ashley/ABA-5921-2020; Williams, Ashley/G-2017-2014; Williams, Ashley/JAX-9689-2023; Williams, Ashley J/J-7565-2013</t>
  </si>
  <si>
    <t>Williams, Ashley/0000-0002-5530-0073; Williams, Ashley/0000-0002-5530-0073;</t>
  </si>
  <si>
    <t>0964-5691</t>
  </si>
  <si>
    <t>OCEAN COAST MANAGE</t>
  </si>
  <si>
    <t>Ocean Coastal Manage.</t>
  </si>
  <si>
    <t>5-6</t>
  </si>
  <si>
    <t>10.1016/j.ocecoaman.2006.09.002</t>
  </si>
  <si>
    <t>Oceanography; Water Resources</t>
  </si>
  <si>
    <t>183LD</t>
  </si>
  <si>
    <t>WOS:000247573400012</t>
  </si>
  <si>
    <t>Danabasoglu, G; Marshall, J</t>
  </si>
  <si>
    <t>Danabasoglu, Gokhan; Marshall, John</t>
  </si>
  <si>
    <t>Effects of vertical variations of thickness diffusivity in an ocean general circulation model</t>
  </si>
  <si>
    <t>OCEAN MODELLING</t>
  </si>
  <si>
    <t>ocean general circulation model; mesoscale eddy parameterization; vertically varying thickness diffusivity</t>
  </si>
  <si>
    <t>ANTARCTIC CIRCUMPOLAR CURRENT; TROPICAL PACIFIC; EDDY-DIFFUSIVITY; TRACER; PARAMETERIZATION; TRANSPORT; FLOW; COEFFICIENTS; SENSITIVITY; EDDIES</t>
  </si>
  <si>
    <t>The effects of a prescribed surface intensification of the thickness (and isopycnal) diffusivity on the solutions of an ocean general circulation model are documented. The model is the coarse resolution version of the ocean component of the National Center for Atmospheric Research (NCAR) Community Climate System Model version 3 (CCSM3). Guided by the results of Ferreira et al. (2005) [Ferreira, D., Marshall, J., Heimbach, P., 2005. Estimating eddy stresses by fitting dynamics to observations using a residual-mean ocean circulation model and its adjoint. J. Phys. Oceanogr. 35, 1891-1910.] we employ a vertical dependence of the diffusivity which varies with the stratification, N-2, and is thus large in the upper ocean and small in the abyss. We experiment with vertical variations of diffusivity which are as large as 4000 m(2) s(-1) within the surface diabatic layer, diminishing to 400 m(2) s(-1) or so by a depth of 2 km. The new solutions compare more favorably with the available observations than those of the control which uses a constant value of 800 m(2) s(-1) for both thickness and isopycnal diffusivities. These include an improved representation of the vertical structure and transport of the eddy-induced velocity in the upper-ocean North Pacific, a reduced warm bias in the upper ocean, including the equatorial Pacific, and improved southward heat transport in the low- to mid-latitude Southern Hemisphere. There is also a modest enhancement of abyssal stratification in the Southern Ocean. (c) 2007 Elsevier Ltd. All rights reserved.</t>
  </si>
  <si>
    <t>Natl Ctr Atmospher Res, Boulder, CO 80307 USA; MIT, Dept Earth Atmospher &amp; Planetary Sci, Cambridge, MA 02139 USA</t>
  </si>
  <si>
    <t>National Center Atmospheric Research (NCAR) - USA; Massachusetts Institute of Technology (MIT)</t>
  </si>
  <si>
    <t>Danabasoglu, G (corresponding author), Natl Ctr Atmospher Res, POB 3000, Boulder, CO 80307 USA.</t>
  </si>
  <si>
    <t>gokhan@ucar.edu</t>
  </si>
  <si>
    <t>Danabasoglu, Gokhan/0000-0003-4676-2732</t>
  </si>
  <si>
    <t>1463-5003</t>
  </si>
  <si>
    <t>1463-5011</t>
  </si>
  <si>
    <t>OCEAN MODEL</t>
  </si>
  <si>
    <t>Ocean Model.</t>
  </si>
  <si>
    <t>10.1016/j.ocemod.2007.03.006</t>
  </si>
  <si>
    <t>Meteorology &amp; Atmospheric Sciences; Oceanography</t>
  </si>
  <si>
    <t>198DW</t>
  </si>
  <si>
    <t>WOS:000248608200003</t>
  </si>
  <si>
    <t>Walker, RT; Holland, DM</t>
  </si>
  <si>
    <t>Walker, Ryan T.; Holland, David M.</t>
  </si>
  <si>
    <t>A two-dimensional coupled model for ice shelf-ocean interaction</t>
  </si>
  <si>
    <t>CIRCULATION BENEATH; THERMOHALINE CIRCULATION; SYSTEM; BASE; ANTARCTICA; GLACIER</t>
  </si>
  <si>
    <t>A simplified coupled model of ice shelf-ocean interaction including an evolving ice shelf is presented. The model is well suited to climate simulation, as it is computationally inexpensive and capable of handling significant changes to the shape of the sub-ice shelf cavity as the shelf profile evolves. The ocean component uses a two-dimensional vertical overturning streamfunction to describe the thermohaline circulation. In order to smoothly accommodate evolution of the shelf, the equations have been converted to a time-dependent terrain-following (sigma) vertical coordinate. The shelf component is a model for, the flow of a confined ice shelf of non-uniform thickness, which consists of equations for longitudinal spreading rate and velocity. The advection of ice thickness has been modified to include separate marine and meteoric layers. The ice shelf and ocean interact thermodynamically through a three-equation formulation for basal melting and freezing. The model is applied to an idealized large-scale Antarctic ice shelf. Following a 600 year simulation, the shelf is found to have reached an equilibrium which represents a loss of approximately 10% of mass relative to its steady state when ocean interaction is not considered. Significant changes in the shelf morphology are also observed, notably an increase in basal slope near the grounding line. These changes are accompanied by shifts in the pattern of basal melting and freezing. Warming of the ocean produces a greater than linear increase in basal melting over several decades, gradually slowing to sublinear over approximately a century. (c) 2007 Elsevier Ltd. All rights reserved.</t>
  </si>
  <si>
    <t>NYU, Ctr Atmosphere Ocean Sci, New York, NY 10012 USA</t>
  </si>
  <si>
    <t>New York University</t>
  </si>
  <si>
    <t>Walker, RT (corresponding author), Univ Manitoba, Fac Environm, Ctr Earth &amp; Observat Sci, Winnipeg, MB R3T 2N2, Canada.</t>
  </si>
  <si>
    <t>walkerr@cc.umanitoba.ca</t>
  </si>
  <si>
    <t>zheng, sj/L-7555-2019</t>
  </si>
  <si>
    <t>10.1016/j.ocemod.2007.01.001</t>
  </si>
  <si>
    <t>165CD</t>
  </si>
  <si>
    <t>WOS:000246280500002</t>
  </si>
  <si>
    <t>Stössel, A; Stössel, MM; Kim, JT</t>
  </si>
  <si>
    <t>Stossel, Achim; Stossel, Marion M.; Kim, Joong-Tae</t>
  </si>
  <si>
    <t>High-resolution sea ice in long-term global ocean GCM integrations</t>
  </si>
  <si>
    <t>WEDDELL SEA; MEAN CIRCULATION; NUMERICAL-MODEL; SENSITIVITY; PARAMETERIZATION; CONVECTION; VARIABILITY; FLUX; ALGORITHMS; TRANSPORTS</t>
  </si>
  <si>
    <t>The resolution of the sea-ice component of a coarse-resolution global ocean general circulation model (GCM) has been enhanced to about 22 km in the Southern Ocean. The ocean GCM is designed for long-term integrations suitable for investigations of the deep-ocean equilibrium response to changes in southern hemisphere high-latitude processes. The space and time scales of the high-resolution sea-ice component are commensurate with those of the resolution of satellite passive-microwave sea-ice data. This provides the opportunity for a rigorous evaluation of simulated sea-ice characteristics. It is found that the satellite-derived continuous high ice concentration of the interior winter ice pack can only be captured when vertical oceanic mixing is modified in a way that less local, intermittent convection occurs. Furthermore, the width and the variability of the coastal polynyas around the Antarctic continent and its ice shelves are best captured when some form of ice-shelf melting is accounted for. The width of the wintertime ice edge is reasonably reproduced, while its variability remains underestimated, closely following the coarse-grid pattern of the ocean model due to its high dependence on ocean temperature. Additional variability besides daily winds, e.g. in form of idealized tidal currents, improves the temporal and spatial ice-edge variability, while leads in the interior ice pack become more abundant, more in line with the fine-scale satellite-derived texture. The coast- or ice-shelf line is described on the fine grid based on satellite passive-microwave data. This method requires parts of a coarse coastal ocean grid cell to be covered by an inert layer of fast ice or ice shelf. Reasonable long-term global deep-ocean properties can only be achieved when these areas are not inert, i.e. are exposed to heat flux and ice growth, or when the vertical mixing parameterization allows for excessive open-ocean convection. The model area exposed to cold high-latitude atmospheric conditions thus being most decisive for a realistic representation of the long-term deep-ocean properties, suggests that high-latitude coastlines are definitely in need of being represented at high resolution, including ice sheets and their effects on the heat and freshwater flux for the ocean. (c) 2006 Elsevier Ltd. All rights reserved.</t>
  </si>
  <si>
    <t>Texas A&amp;M Univ, Dept Oceanog, College Stn, TX 77843 USA</t>
  </si>
  <si>
    <t>Texas A&amp;M University System; Texas A&amp;M University College Station</t>
  </si>
  <si>
    <t>Stössel, A (corresponding author), Texas A&amp;M Univ, Dept Oceanog, College Stn, TX 77843 USA.</t>
  </si>
  <si>
    <t>astoessel@ocean.tamu.edu</t>
  </si>
  <si>
    <t>10.1016/j.ocemod.2006.10.001</t>
  </si>
  <si>
    <t>149XM</t>
  </si>
  <si>
    <t>WOS:000245180200004</t>
  </si>
  <si>
    <t>Polton, JA; Marshall, DP</t>
  </si>
  <si>
    <t>Polton, J. A.; Marshall, D. P.</t>
  </si>
  <si>
    <t>Overturning cells in the Southern Ocean and subtropical gyres</t>
  </si>
  <si>
    <t>OCEAN SCIENCE</t>
  </si>
  <si>
    <t>ANTARCTIC CIRCUMPOLAR CURRENT; QUASI-GEOSTROPHIC EDDIES; POTENTIAL VORTICITY; TRACER TRANSPORTS; MOMENTUM BALANCE; DEACON CELL; THERMOCLINE; CIRCULATION; MODELS; STRATIFICATION</t>
  </si>
  <si>
    <t>The circulation of the subtropical gyres can be decomposed into a horizontal recirculation along contours of constant Bernoulli potential and an overturning circulation across these contours. While the geometry and topology of Bernoulli contours is more complicated in the subtropical gyres than in the Southern Ocean, these subtropical overturning circulations are very much analogous to the overturning cell found in the Southern Ocean. This analogy is formalised through an exact integral constraint, including the rectified effects of transient eddies. The constraint can be interpreted either in terms of vertical fluxes of potential vorticity, or equivalently as an integral buoyancy budget for an imaginary fluid parcel recirculating around a closed Bernoulli contour. Under conditions of vanishing buoyancy and mechanical forcing, the constraint reduces to a generalised non-acceleration condition, under which the Eulerian-mean and eddy-induced overturning circulations exactly compensate. The terms in the integral constraint are diagnosed in an eddy-permitting ocean model in both the North Pacific subtropical gyre and the Southern Ocean. The extent to which the Eulerian-mean and eddy-induced overturning circulations compensate is discussed in each case.</t>
  </si>
  <si>
    <t>Univ Reading, Dept Meteorol, Reading RG6 2AH, Berks, England</t>
  </si>
  <si>
    <t>Polton, JA (corresponding author), Univ Reading, Dept Meteorol, Reading RG6 2AH, Berks, England.</t>
  </si>
  <si>
    <t>jpolton@ucsd.edu</t>
  </si>
  <si>
    <t>Polton, Jeff/O-2289-2019; Marshall, David Philip/B-6767-2009; Polton, Jeff/M-4307-2013</t>
  </si>
  <si>
    <t>Polton, Jeff/0000-0003-0131-5250; Marshall, David Philip/0000-0002-5199-6579; Polton, Jeff/0000-0003-0131-5250</t>
  </si>
  <si>
    <t>1812-0784</t>
  </si>
  <si>
    <t>OCEAN SCI</t>
  </si>
  <si>
    <t>Ocean Sci.</t>
  </si>
  <si>
    <t>10.5194/os-3-17-2007</t>
  </si>
  <si>
    <t>229UY</t>
  </si>
  <si>
    <t>WOS:000250832600002</t>
  </si>
  <si>
    <t>Chmel, A; Smirnov, VN; Panov, LV</t>
  </si>
  <si>
    <t>Chmel, A.; Smirnov, V. N.; Panov, L. V.</t>
  </si>
  <si>
    <t>Scaling aspects of the sea-ice-drift dynamics and pack fracture</t>
  </si>
  <si>
    <t>BEAUFORT SEA</t>
  </si>
  <si>
    <t>A study of the sea-ice dynamics in the periods of time prior to and during the cycles of basin-wide fragmentation of the ice cover in the Arctic Ocean is presented. The fractal geometry of the ice-sheets limited by leads and ridges was assessed using the satellite images, while the data on the correlated sea-ice motion were obtained in the research stations North Pole 32 and North Pole 33 established on the ice pack. The revealed decrease of the fractal dimension as a result of large-scale fragmentation is consistent with the localization of the fracture process ( leads propagation). At the same time, the scaling properties of the distribution of amplitudes of ice-fields accelerations were insensitive to the event of sea-ice fragmentation. The temporal distribution of the accelerations was scale-invariant during quiet periods of sea-ice drift but disordered in the period of mechanical perturbation. The period of decorrelated ( in time) ice-field motion during the important fracture event was interpreted as an inter-level transition in the hierarchic dynamical system. The mechanism of the long-range correlations in the sea-ice cover, including the fracture process, is suggested to be in relation with the self-organized oscillation dynamics inherent in the ice pack.</t>
  </si>
  <si>
    <t>Russian Acad Sci, AF Ioffe Physicotech Inst, Fracture Phys Dept, St Petersburg 194021, Russia; Arctic &amp; Antarctic Res Inst, St Petersburg 199397, Russia</t>
  </si>
  <si>
    <t>Chmel, A (corresponding author), Russian Acad Sci, AF Ioffe Physicotech Inst, Fracture Phys Dept, St Petersburg 194021, Russia.</t>
  </si>
  <si>
    <t>10.5194/os-3-291-2007</t>
  </si>
  <si>
    <t>229UZ</t>
  </si>
  <si>
    <t>WOS:000250832700010</t>
  </si>
  <si>
    <t>Tomczak, M</t>
  </si>
  <si>
    <t>Tomczak, M.</t>
  </si>
  <si>
    <t>Variability of antarctic intermediate water properties in the south pacific ocean</t>
  </si>
  <si>
    <t>Argo float time series data are used to study the salinity field at the depth of the salinity minimum produced by Antarctic Intermediate Water (AAIW). It is found that far from showing the smooth erosion of the minimum that would result from diffusive flow, the salinity field is characterized by features of geostrophic turbulence such as fronts, eddies and intrusions. Comparison of the Argo float observations with the climatology of the World Ocean Atlas (WOA) reveals significant differences between the two data sets. Some of the differences may have their origin in problems with the WOA data density in remote regions of the South Pacific, but most are more likely produced by interannual variations of the AAIW salinity field.</t>
  </si>
  <si>
    <t>Flinders Univ S Australia, Sch Chem Phys &amp; Earth Sci, Adelaide, SA 5001, Australia</t>
  </si>
  <si>
    <t>Flinders University South Australia</t>
  </si>
  <si>
    <t>Tomczak, M (corresponding author), Flinders Univ S Australia, Sch Chem Phys &amp; Earth Sci, GPO Box 2100, Adelaide, SA 5001, Australia.</t>
  </si>
  <si>
    <t>matthias.tomczak@flinders.edu.au</t>
  </si>
  <si>
    <t>Tomczak, Matthias/0000-0002-8416-5851</t>
  </si>
  <si>
    <t>10.5194/os-3-363-2007</t>
  </si>
  <si>
    <t>229VB</t>
  </si>
  <si>
    <t>WOS:000250832900002</t>
  </si>
  <si>
    <t>Webb, DJ; de Cuevas, BA</t>
  </si>
  <si>
    <t>Webb, D. J.; de Cuevas, B. A.</t>
  </si>
  <si>
    <t>On the fast response of the Southern Ocean to changes in the zonal wind</t>
  </si>
  <si>
    <t>ANTARCTIC CIRCUMPOLAR CURRENT; DRAKE PASSAGE; MODEL; HYDROGRAPHY; TRANSPORT; ADVECTION; MOMENTUM; DYNAMICS; EDDIES</t>
  </si>
  <si>
    <t>Model studies of the Southern Ocean, reported here, show that the Antarctic Circumpolar Current responds within two days to changes in the zonal wind stress at the latitudes of Drake Passage. Further investigation shows that the response is primarily barotropic and that, as one might expect, it is controlled by topography. Analysis of the results show that the changes in the barotropic flow are sufficient to transfer the changed surface wind stress to the underlying topography and that during this initial phase baroclinic processes are not involved. The model results also show that the Deacon Cell responds to changes in the wind stress on the same rapid time scale. It is shown that the changes in the Deacon Cell can also be explained by the change in the barotropic velocity field, an increase in the zonal wind stress producing an increased northward flow in shallow regions and southward flow where the ocean is deep. This new explanation is unexpected as previously the Deacon Cell has been thought of as a baroclinic feature of the ocean. The results imply that where baroclinic processes do appear to be involved in either the zonal momentum balance of the Southern Ocean or the formation of the Deacon Cell, they are part of the long term baroclinic response of the ocean's density field to the changes in the barotropic flow.</t>
  </si>
  <si>
    <t>Webb, DJ (corresponding author), Natl Oceanog Ctr, Southampton SO14 3ZH, Hants, England.</t>
  </si>
  <si>
    <t>david.webb@noc.soton.ac.uk</t>
  </si>
  <si>
    <t>Webb, David/0000-0001-7084-8566</t>
  </si>
  <si>
    <t>10.5194/os-3-417-2007</t>
  </si>
  <si>
    <t>WOS:000250832900006</t>
  </si>
  <si>
    <t>Lachkar, Z; Orr, JC; Dutay, JC; Delecluse, P</t>
  </si>
  <si>
    <t>Lachkar, Z.; Orr, J. C.; Dutay, J. -C.; Delecluse, P.</t>
  </si>
  <si>
    <t>Effects of mesoscale eddies on global ocean distributions of CFC-11, CO2, and Δ14C</t>
  </si>
  <si>
    <t>GENERAL-CIRCULATION; ANTHROPOGENIC CO2; NUMERICAL-MODEL; GAS-EXCHANGE; RESOLUTION; TRANSPORT; VENTILATION; SIMULATIONS; THERMOCLINE; SENSITIVITY</t>
  </si>
  <si>
    <t>Global-scale tracer simulations are typically made at coarse resolution without explicitly modelling eddies. Here we ask what role do eddies play in ocean uptake, storage, and meridional transport of transient tracers. We made global anthropogenic transient-tracer simulations in coarse-resolution (2 degrees cos phi x 2 degrees, ORCA2) and eddypermitting (1/2 degrees cos phi x 1/2 degrees, ORCA05) versions of the ocean general circulation model OPA9. Our focus is on surface-to-intermediate waters of the southern extratropics where air-sea tracer fluxes, tracer storage, and meridional tracer transport are largest. Eddies have little effect on global and regional bomb Delta C-14 uptake and storage. Yet for anthropogenic CO2 and CFC-11, refining the horizontal resolution reduced southern extratropical uptake by 25% and 28%, respectively. There is a similar decrease in corresponding inventories, which yields better agreement with observations. With higher resolution, eddies strengthen upper ocean vertical stratification and reduce excessive ventilation of intermediate waters by 20% between 60 degrees S and 40 degrees S. By weakening the residual circulation, i.e., the sum of Eulerian mean flow and the opposed eddy-induced flow, eddies reduce the supply of tracer-impoverished deep waters to the surface near the Antarctic divergence, thus reducing the air-sea tracer flux. Thus in the eddy permitting model, surface waters in that region have more time to equilibrate with the atmosphere before they are transported northward and subducted. As a result, the eddy permitting model's inventories of CFC-11 and anthropogenic CO2 are lower in that region because mixed-layer concentrations of both tracers equilibrate with the atmosphere on relatively short time scales (15 days and 6 months, respectively); conversely, bomb Delta C-14's air-sea equilibration time of 6 years is so slow that, even in the eddy permitting model, there is little time for surface concentrations to equilibrate with the atmosphere, i.e., before surface waters are subducted.</t>
  </si>
  <si>
    <t>[Orr, J. C.] IAEA, Marine Environm Labs, Monaco, Monaco; [Lachkar, Z.; Dutay, J. -C.; Delecluse, P.] CEA CNRS UVSQ, LSCE IPSL, Lab Sci Climat &amp; Environm, Gif Sur Yvette, France</t>
  </si>
  <si>
    <t>CEA; Centre National de la Recherche Scientifique (CNRS); Universite Paris Saclay</t>
  </si>
  <si>
    <t>Lachkar, Z (corresponding author), ETH, Inst Biogeochem &amp; Pollutant Dynam, Zurich, Switzerland.</t>
  </si>
  <si>
    <t>zouhair.lachkar@env.ethz.ch</t>
  </si>
  <si>
    <t>Orr, James C/C-5221-2009</t>
  </si>
  <si>
    <t>Orr, James/0000-0002-8707-7080</t>
  </si>
  <si>
    <t>10.5194/os-3-461-2007</t>
  </si>
  <si>
    <t>260ZE</t>
  </si>
  <si>
    <t>WOS:000253048100002</t>
  </si>
  <si>
    <t>Treguier, AM; England, MH; Rintoul, SR; Madec, G; Le Sommer, J; Molines, JM</t>
  </si>
  <si>
    <t>Treguier, A. M.; England, M. H.; Rintoul, S. R.; Madec, G.; Le Sommer, J.; Molines, J. -M.</t>
  </si>
  <si>
    <t>Southern Ocean overturning across streamlines in an eddying simulation of the Antarctic Circumpolar Current</t>
  </si>
  <si>
    <t>TRACER TRANSPORTS; MASS-TRANSPORT; CIRCULATION; HEAT; SURFACE; HEMISPHERE; FRONTS; CELLS; MODEL; SALT</t>
  </si>
  <si>
    <t>An eddying global model is used to study the characteristics of the Antarctic Circumpolar Current (ACC) in a streamline-following framework. Previous model-based estimates of the meridional circulation were calculated using zonal averages: this method leads to a counter-intuitive pole-ward circulation of the less dense waters, and underestimates the eddy effects. We show that on the contrary, the upper ocean circulation across streamlines agrees with the theoretical view: an equatorward mean flow partially cancelled by a poleward eddy mass flux. Two model simulations, in which the buoyancy forcing above the ACC changes from positive to negative, suggest that the relationship between the residual meridional circulation and the surface buoyancy flux is not as straightforward as assumed by the simplest theoretical models: the sign of the residual circulation cannot be inferred from the surface buoyancy forcing only. Among the other processes that likely play a part in setting the meridional circulation, our model results emphasize the complex three-dimensional structure of the ACC (probably not well accounted for in streamline-averaged, two-dimensional models) and the distinct role of temperature and salinity in the definition of the density field. Heat and salt transports by the time-mean flow are important even across time-mean streamlines. Heat and salt are balanced in the ACC, the model drift being small, but the nonlinearity of the equation of state cannot be ignored in the density balance.</t>
  </si>
  <si>
    <t>[Treguier, A. M.] CNRS IFREMER UBO, Lab Phys Oceans, Plouzane, France; [England, M. H.] Univ New S Wales, CCRC, Sydney, NSW, Australia; [Rintoul, S. R.] CRC, CSIRO Wealth Oceans Natl Res Flagship &amp; Antarct C, Hobart, Tas, Australia; [Madec, G.] Univ Paris 06, Lab Oceanog &amp; Climat Expt &amp; Approches Numer, Paris, France; [Le Sommer, J.; Molines, J. -M.] Univ Grenoble 1, Lab Ecoulements Geophys &amp; Ind, Grenoble, France</t>
  </si>
  <si>
    <t>Universite de Bretagne Occidentale; Centre National de la Recherche Scientifique (CNRS); Ifremer; Institut de Recherche pour le Developpement (IRD); University of New South Wales Sydney; Commonwealth Scientific &amp; Industrial Research Organisation (CSIRO); Sorbonne Universite; Museum National d'Histoire Naturelle (MNHN); Communaute Universite Grenoble Alpes; Institut National Polytechnique de Grenoble; Universite Grenoble Alpes (UGA); Centre National de la Recherche Scientifique (CNRS)</t>
  </si>
  <si>
    <t>Treguier, AM (corresponding author), CNRS IFREMER UBO, Lab Phys Oceans, Plouzane, France.</t>
  </si>
  <si>
    <t>treguier@ifremer.fr</t>
  </si>
  <si>
    <t>Treguier, Anne Marie/B-7497-2009; England, Matthew/A-7539-2011; madec, gurvan/E-7825-2010; Rintoul, Stephen R/A-1471-2012; Le Sommer, Julien/ABG-8801-2021</t>
  </si>
  <si>
    <t>England, Matthew/0000-0001-9696-2930; madec, gurvan/0000-0002-6447-4198; Rintoul, Stephen R/0000-0002-7055-9876; Le Sommer, Julien/0000-0002-6882-2938; Treguier, Anne Marie/0000-0003-4569-845X</t>
  </si>
  <si>
    <t>10.5194/os-3-491-2007</t>
  </si>
  <si>
    <t>WOS:000253048100005</t>
  </si>
  <si>
    <t>Yoshiki, T; Shimizu, A; Toda, T</t>
  </si>
  <si>
    <t>Yoshiki, Tomoko; Shimizu, Akio; Toda, Tatsuki</t>
  </si>
  <si>
    <t>Pressurizing system for observation of marine zooplankton</t>
  </si>
  <si>
    <t>OCEANS 2007 - EUROPE, VOLS 1-3</t>
  </si>
  <si>
    <t>Oceans 2007 Europe International Conference</t>
  </si>
  <si>
    <t>JUN 18-21, 2007</t>
  </si>
  <si>
    <t>Aberdeen, SCOTLAND</t>
  </si>
  <si>
    <t>pressure chamber; observation system; zooplankton; egg development</t>
  </si>
  <si>
    <t>SHALLOW-WATER; HYDROSTATIC-PRESSURE; OXYGEN-CONSUMPTION; ANTARCTIC KRILL; TEMPERATURE; METABOLISM; FISHES; DECOMPRESSION</t>
  </si>
  <si>
    <t>Planktonic animals occur from the surface to the sea bottom and they are exposed to hydrostatic pressure throughout their lifetime. A hydrostatic pressure apparatus integrating ideas of past apparatuses was developed to investigate effects of hydrostatic pressure on marine zooplankton. The pressure apparatus system is composed of a peristaltic pump, a pressure chamber, a specimen holder which is placed in the pressure chamber, a temperature-controlled bath, a CCD camera, a monitor and a video-recorder. This hydrostatic pressure apparatus made it possible (1) to incubate at a constant temperature by connecting it with a temperature-controlled bath, (2) to observe live zooplankton through a window, (3) to increase pressure gradually from 1 to 150 atm and (4) to continually record the behavior of specimens by using a CCD camera and a video-recorder. Effects of hydrostatic pressure on the egg of the marine zooplankton, were examined using the newly designed hydrostatic pressure apparatus. The apparatus is practical for experiments using a wide size range of specimens, from eggs to adult size of mesozooplankton (100-10000 gm size range). In present study, egg development time of planktonic copepod was examined; C. sinicus is the dominant zooplankton community in the coastal area of Japan. The egg development time at different experimental pressure conditions (1, 10, 50 and 100 atm) were similar to that at 1 atm. The hatching success of C sinicus eggs at 1 atm was generally higher than 80 % within the temperature range from 5 to 25 degrees C. At higher pressure conditions of 10, 50 and 100 atm, highly significant decreases in egg hatching success of C. sinicus occurred as pressure increased. Thus, hydrostatic pressure does not inhibit egg development but egg hatching of C sinicus.</t>
  </si>
  <si>
    <t>[Yoshiki, Tomoko; Shimizu, Akio; Toda, Tatsuki] Soka Univ, Fac Engn, Dept Environm Engn Symbiosis, Tokyo, Japan</t>
  </si>
  <si>
    <t>Soka University</t>
  </si>
  <si>
    <t>Toda, T (corresponding author), Soka Univ, Fac Engn, Dept Environm Engn Symbiosis, Tokyo, Japan.</t>
  </si>
  <si>
    <t>tyoshiki@soka.ac.jp; shimizu@t.soka.ac.jp; toda@t.soka.ac.jp</t>
  </si>
  <si>
    <t>Toda, Tatsuki/0000-0001-9279-030X; Shimizu, Akio/0000-0002-0672-2042</t>
  </si>
  <si>
    <t>978-1-4244-0634-0</t>
  </si>
  <si>
    <t>Engineering, Environmental; Engineering, Ocean</t>
  </si>
  <si>
    <t>Engineering</t>
  </si>
  <si>
    <t>BHK06</t>
  </si>
  <si>
    <t>WOS:000253702200244</t>
  </si>
  <si>
    <t>Belt, ST; Massé, G; Rowland, SJ; Poulin, M; Michel, C; LeBlanc, B</t>
  </si>
  <si>
    <t>Belt, Simon T.; Masse, Guillaume; Rowland, Steven J.; Poulin, Michel; Michel, Christine; LeBlanc, Bernard</t>
  </si>
  <si>
    <t>A novel chemical fossil of palaeo sea ice:: IP25</t>
  </si>
  <si>
    <t>ORGANIC GEOCHEMISTRY</t>
  </si>
  <si>
    <t>BRANCHED ISOPRENOID ALKENES; LAST GLACIAL MAXIMUM; NORTH-ATLANTIC; SURFACE TEMPERATURE; SOUTHERN-OCEAN; HBI ALKENES; C-25; DIATOM; COVER; RECONSTRUCTION</t>
  </si>
  <si>
    <t>A unique and novel organic compound has been detected in sea ice samples from three locations in the Canadian Arctic, thousands of kilometers apart. It is likely that this biomarker is produced by diatoms living in the sea ice and we provide evidence which suggests that the compound, a C-25 monounsaturated hydrocarbon (IP25), may be a specific, sensitive and stable proxy for sea ice in sediments over at least the Holocene. Since it has not been reported before, we confirmed its identity by synthesis and used the synthesized compound as a reference for quantifying IP25 in a range of sediments from an East-West transect in the Canadian Arctic. The recent sediments are either seasonally covered with ice or have permanent ice cover. Older sediments containing IP25 have been dated using radiocarbon methods to at least 9000 yr. If the concept proves generally applicable, monitoring IP25 in further sediment cores along with other accepted proxies, should allow movements in the position of the ice edge throughout the Holocene (at least) to be better determined, which is essential for accurate calibration of climate prediction models. A similar approach for Antarctic samples of ice and sediments would also seem worthwhile. (c) 2006 Elsevier Ltd. All rights reserved.</t>
  </si>
  <si>
    <t>Univ Plymouth, Sch Environm Sci, Petrl &amp; Environm Geochem Grp, Plymouth PL4 8AA, Devon, England; Canadian Museum Nat, Div Res, Ottawa, ON K1P 6P4, Canada; Fisheries &amp; Oceans Canada, Inst Freshwater, Winnipeg, MB R3T 2N6, Canada</t>
  </si>
  <si>
    <t>University of Plymouth; Fisheries &amp; Oceans Canada</t>
  </si>
  <si>
    <t>Belt, ST (corresponding author), Univ Plymouth, Sch Environm Sci, Petrl &amp; Environm Geochem Grp, Drake Circuis, Plymouth PL4 8AA, Devon, England.</t>
  </si>
  <si>
    <t>sbelt@plymouth.ac.uk</t>
  </si>
  <si>
    <t>Rowland, Steven/JFK-4987-2023</t>
  </si>
  <si>
    <t>Michel, Christine/0000-0001-8056-0160</t>
  </si>
  <si>
    <t>NERC [NE/D013216/1] Funding Source: UKRI; Natural Environment Research Council [NE/D013216/1, NE/D000068/1] Funding Source: researchfish</t>
  </si>
  <si>
    <t>0146-6380</t>
  </si>
  <si>
    <t>ORG GEOCHEM</t>
  </si>
  <si>
    <t>Org. Geochem.</t>
  </si>
  <si>
    <t>10.1016/j.orggeochem.2006.09.013</t>
  </si>
  <si>
    <t>138GI</t>
  </si>
  <si>
    <t>WOS:000244350700002</t>
  </si>
  <si>
    <t>McIntyre, CP; Harvey, PM; Ferguson, S; Wressnig, AM; Snape, I; George, SC</t>
  </si>
  <si>
    <t>McIntyre, Cameron P.; Harvey, Paul McA.; Ferguson, Susan; Wressnig, Anna M.; Snape, Ian; George, Simon C.</t>
  </si>
  <si>
    <t>Determining the extent of weathering of spilled fuel in contaminated soil using the diastereomers of pristane and phytane</t>
  </si>
  <si>
    <t>BIODEGRADATION; HYDROCARBONS; EVAPORATION; OIL</t>
  </si>
  <si>
    <t>A method is described for determining the relative extent of weathering in moderately biodegraded, hydrocarbon-contaminated soils from Antarctica. Plotting the pristane diastereomer ratio (PrDR) vs. pristane/phytane (Pr/Ph) allows the relative extent of weathering (primarily evaporation in this case) to be determined. PrDR is used to account for biodegradation as it is independent of evaporation. The method is straightforward and as robust as conventional ratios. Crown Copyright (C) 2007 Published by Elsevier Ltd. All rights reserved.</t>
  </si>
  <si>
    <t>[McIntyre, Cameron P.] CSIRO Petr, N Ryde, NSW 1670, Australia; [Harvey, Paul McA.; Ferguson, Susan; Snape, Ian] Australian Antarctic Div, Kingston, Tas 7050, Australia; [George, Simon C.] Macquarie Univ, Dept Earth &amp; Planetary Sci, N Ryde, NSW 2109, Australia</t>
  </si>
  <si>
    <t>Commonwealth Scientific &amp; Industrial Research Organisation (CSIRO); Australian Antarctic Division; Macquarie University</t>
  </si>
  <si>
    <t>McIntyre, CP (corresponding author), CSIRO Petr, POB 136, N Ryde, NSW 1670, Australia.</t>
  </si>
  <si>
    <t>cpm@cpmcintyre.com</t>
  </si>
  <si>
    <t>George, Simon Christopher/G-7134-2015; McIntyre, Cameron P/D-1222-2016</t>
  </si>
  <si>
    <t>George, Simon Christopher/0000-0001-6534-3846; McIntyre, Cameron P/0000-0001-8517-9836</t>
  </si>
  <si>
    <t>10.1016/j.orggeochem.2007.07.010</t>
  </si>
  <si>
    <t>244JQ</t>
  </si>
  <si>
    <t>WOS:000251862600010</t>
  </si>
  <si>
    <t>Gandini, PA; Pon, JPS</t>
  </si>
  <si>
    <t>Gandini, Patricia A.; Seco Pon, Juan P.</t>
  </si>
  <si>
    <t>Seabird assemblages attending longline vessels in the Argentinean Economic Exclusive Zone</t>
  </si>
  <si>
    <t>ORNITOLOGIA NEOTROPICAL</t>
  </si>
  <si>
    <t>seabird assemblages; commercial longlines; Argentinean Exclusive Economic Zone; southwestern Atlantic Ocean</t>
  </si>
  <si>
    <t>PATAGONIAN SHELF; FALKLAND ISLANDS; FISHING VESSELS; GIANT PETRELS; ALBATROSSES; FISHERIES; DISCARDS; MORTALITY; TRAWLERS; PATTERNS</t>
  </si>
  <si>
    <t>The aim of this work was to study the specific composition and relative abundance of seabirds attending commercial longline vessels operating in the Argentinean Exclusive Economic Zone (AEEZ). Daylight counts were performed on board of semi-pelagic and bottom longline cruises during 2003, 2005 and 2006. We registered an overall of 56,510 birds comprised by at least 21 different species belonging to eight families. The Procellariiformes, with 17 species, were the most abundant bird taxa. During this study, the greatest species diversity took place in the spring months (15 taxa) while, in autumn and summer, the diversity was intermediate (13 and 7-10 taxa, respectively). In spring 2003, the commonest species attending the vessels was the Cape petrel (Daption capense) while, in autumn, adult Black-browed Albatrosses (Thalassarche melanopbris) were the most common species. Again, adult Black-browed Albatrosses were the most abundant birds attending the vessels during spring and summer of 2005. Finally, the Great Shearwater (Puffinus gratis) was the commonest species during summer 2006. More than 75% of the species registered are migratory and non-breeders in Argentina. During the austral winter, several seabird species from Antarctica and sub-Antarctic Islands moved north, reaching the waters of the AEEZ. This northward dispersion is performed chiefly by Procellariiforms breeding in those regions. The combination of the rich year-round foraging grounds provided by the waters of the south-western Atlantic Ocean, particularly the AEEZ, and the great seabird and other top predator biomass, highlights the global ecological importance of this region. Accepted 24 August 2007.</t>
  </si>
  <si>
    <t>[Gandini, Patricia A.; Seco Pon, Juan P.] Univ Nacl Patagonia Austral, Ctr Invest Puerto Deseado, RA-9050 Puerto Deseado, Santa Cruz, Argentina; [Gandini, Patricia A.] Consejo Nacl Invest Cient &amp; Tecn, RA-9050 Puerto Deseado, Santa Cruz, Argentina; [Gandini, Patricia A.] Wildlife Conservat Soc, Bronx, NY 10460 USA</t>
  </si>
  <si>
    <t>Universidad Nacional de la Patagonia San Juan Bosco; Consejo Nacional de Investigaciones Cientificas y Tecnicas (CONICET); Wildlife Conservation Society</t>
  </si>
  <si>
    <t>Gandini, PA (corresponding author), Univ Nacl Patagonia Austral, Ctr Invest Puerto Deseado, Cc 238, RA-9050 Puerto Deseado, Santa Cruz, Argentina.</t>
  </si>
  <si>
    <t>pagandini@yahoo.com.ar</t>
  </si>
  <si>
    <t>NEOTROPICAL ORNITHOLOGICAL SOC, USGS PATUXENT WILDLIFE RESEARCH CTR</t>
  </si>
  <si>
    <t>ATHENS</t>
  </si>
  <si>
    <t>UNIV GEORGIA, WARNELL SCH FOREST RESOURCES, ATHENS, GA 30602-2152 USA</t>
  </si>
  <si>
    <t>1075-4377</t>
  </si>
  <si>
    <t>ORNITOL NEOTROP</t>
  </si>
  <si>
    <t>ORNITOL. NEOTROP.</t>
  </si>
  <si>
    <t>249LX</t>
  </si>
  <si>
    <t>WOS:000252231000007</t>
  </si>
  <si>
    <t>Wilson, SR; Solomon, KR; Tang, X</t>
  </si>
  <si>
    <t>Wilson, S. R.; Solomon, K. R.; Tang, X.</t>
  </si>
  <si>
    <t>Changes in tropospheric composition and air quality due to stratospheric ozone depletion and climate change</t>
  </si>
  <si>
    <t>PHOTOCHEMICAL &amp; PHOTOBIOLOGICAL SCIENCES</t>
  </si>
  <si>
    <t>EMERGENCY-DEPARTMENT VISITS; ACTINIC FLUX; PHOTOLYSIS FREQUENCIES; TRIFLUOROACETIC-ACID; HALOACETIC ACIDS; IRRADIANCE MEASUREMENTS; ATMOSPHERIC CHEMISTRY; AQUATIC ENVIRONMENT; HYDROXYL RADICALS; METHYL CHLOROFORM</t>
  </si>
  <si>
    <t>It is well-understood that reductions in air quality play a significant role in both environmental and human health. Interactions between ozone depletion and global climate change will significantly alter atmospheric chemistry which, in turn, will cause changes in concentrations of natural and human-made gases and aerosols. Models predict that tropospheric ozone near the surface will increase globally by up to 10 to 30 ppbv (33 to 100% increase) during the period 2000 to 2100. With the increase in the amount of the stratospheric ozone, increased transport from the stratosphere to the troposphere will result in different responses in polluted and unpolluted areas. In contrast, global changes in tropospheric hydroxyl radical (OH) are not predicted to be large, except where influenced by the presence of oxidizable organic matter, such as from large-scale forest fires. Recent measurements in a relatively clean location over 5 years showed that OH concentrations can be predicted by the intensity of solar ultraviolet radiation. If this relationship is confirmed by further observations, this approach could be used to simplify assessments of air quality. Analysis of surface-level ozone observations in Antarctica suggests that there has been a significant change in the chemistry of the boundary layer of the atmosphere in this region as a result of stratospheric ozone depletion. The oxidation potential of the Antarctic boundary layer is estimated to be greater now than before the development of the ozone hole. Recent modeling studies have suggested that iodine and iodine-containing substances from natural sources, such as the ocean, may increase stratospheric ozone depletion significantly in polar regions during spring. Given the uncertainty of the fate of iodine in the stratosphere, the results may also be relevant for stratospheric ozone depletion and measurements of the influence of these substances on ozone depletion should be considered in the future. In agreement with known usage and atmospheric loss processes, tropospheric concentrations of HFC-134a, the main human-made source of trifluoroacetic acid (TFA), is increasing rapidly. As HFC-134a is a potent greenhouse gas, this increasing concentration has implications for climate change. However, the risks to humans and the environment from substances, such as TFA, produced by atmospheric degradation of hydrochlorofluorocarbons (HCFCs) and hydrofluorocarbons (HFCs) are considered minimal. Perfluoropolyethers, commonly used as industrial heat transfer fluids and proposed as chlorohydrofluorocarbon (CHFC) substitutes, show great stability to chemical degradation in the atmosphere. These substances have been suggested as substitutes for CHFCs but, as they are very persistent in the atmosphere, they may be important contributors to global warming. It is not known whether these substances will contribute significantly to global warming and its interaction with ozone depletion but they should be considered for further evaluation.</t>
  </si>
  <si>
    <t>Univ Wollongong, Dept Chem, Wollongong, NSW 2522, Australia; Univ Guelph, Ctr Toxicol, Guelph, ON N1G 2W1, Canada; Peking Univ, Ctr Environm Sci, Beijing 100871, Peoples R China</t>
  </si>
  <si>
    <t>University of Wollongong; University of Guelph; Peking University</t>
  </si>
  <si>
    <t>Wilson, SR (corresponding author), Univ Wollongong, Dept Chem, Wollongong, NSW 2522, Australia.</t>
  </si>
  <si>
    <t>tang, xiaoyan/D-5186-2011; Wilson, Stephen R/O-6151-2018; Solomon, Keith/AAF-4510-2020</t>
  </si>
  <si>
    <t>Wilson, Stephen R/0000-0003-4546-2527; Solomon, Keith R/0000-0002-8496-6413</t>
  </si>
  <si>
    <t>SPRINGERNATURE</t>
  </si>
  <si>
    <t>CAMPUS, 4 CRINAN ST, LONDON, N1 9XW, ENGLAND</t>
  </si>
  <si>
    <t>1474-905X</t>
  </si>
  <si>
    <t>1474-9092</t>
  </si>
  <si>
    <t>PHOTOCH PHOTOBIO SCI</t>
  </si>
  <si>
    <t>Photochem. Photobiol. Sci.</t>
  </si>
  <si>
    <t>10.1039/B700022g</t>
  </si>
  <si>
    <t>Biochemistry &amp; Molecular Biology; Biophysics; Chemistry, Physical</t>
  </si>
  <si>
    <t>Biochemistry &amp; Molecular Biology; Biophysics; Chemistry</t>
  </si>
  <si>
    <t>143QX</t>
  </si>
  <si>
    <t>WOS:000244739000019</t>
  </si>
  <si>
    <t>Woodard, R; Newman, DE; Sánchez, R; Carreras, BA</t>
  </si>
  <si>
    <t>Woodard, Ryan; Newman, David E.; Sanchez, Raul; Carreras, Benjamin A.</t>
  </si>
  <si>
    <t>Persistent dynamic correlations in self-organized critical systems away from their critical point</t>
  </si>
  <si>
    <t>PHYSICA A-STATISTICAL MECHANICS AND ITS APPLICATIONS</t>
  </si>
  <si>
    <t>self-organized criticality; running sandpile; correlations; hurst; pulses</t>
  </si>
  <si>
    <t>PLASMA TURBULENCE; PHASE-TRANSITIONS; 1/F NOISE; AVALANCHES; SANDPILES; MODEL</t>
  </si>
  <si>
    <t>We show that correlated dynamics and long time memory persist in self-organized criticality (SOC) systems even when forced away from the defined critical point that exists at vanishing drive strength. These temporal correlations are found for all levels of external forcing as long as the system is not overdriven. They arise from the same physical mechanism that produces the temporal correlations found at the vanishing drive limit, namely the memory of past events stored in the system profile. The existence of these correlations contradicts the notion that a SOC time series is simply a random superposition of events with sizes distributed as a power law, as has been suggested by previous studies. (c) 2006 Elsevier B.V. All rights reserved.</t>
  </si>
  <si>
    <t>Univ Alaska Fairbanks, Fairbanks, AK 99775 USA; Univ Carlos III Madrid, Madrid 28911, Spain; Oak Ridge Natl Lab, Oak Ridge, TN 37831 USA</t>
  </si>
  <si>
    <t>University of Alaska System; University of Alaska Fairbanks; Universidad Carlos III de Madrid; United States Department of Energy (DOE); Oak Ridge National Laboratory</t>
  </si>
  <si>
    <t>Woodard, R (corresponding author), British Antarctic Survey, Madingley Rd, Cambridge CB3 0ET, England.</t>
  </si>
  <si>
    <t>rywo@bas.ac.uk</t>
  </si>
  <si>
    <t>Sanchez, Raul/E-2979-2014; Sanchez, Raul/Z-2208-2019; Sanchez, Raul/C-2328-2008</t>
  </si>
  <si>
    <t>Sanchez, Raul/0000-0003-1593-3930; Sanchez, Raul/0000-0003-1593-3930; Newman, David/0000-0002-5835-0287; Carreras, Benjamin/0000-0001-7921-4690</t>
  </si>
  <si>
    <t>NERC [bas010021] Funding Source: UKRI; Natural Environment Research Council [bas010021] Funding Source: researchfish</t>
  </si>
  <si>
    <t>0378-4371</t>
  </si>
  <si>
    <t>1873-2119</t>
  </si>
  <si>
    <t>PHYSICA A</t>
  </si>
  <si>
    <t>Physica A</t>
  </si>
  <si>
    <t>10.1016/j.physa.2006.05.001</t>
  </si>
  <si>
    <t>Physics, Multidisciplinary</t>
  </si>
  <si>
    <t>109NU</t>
  </si>
  <si>
    <t>Green Submitted, Green Accepted</t>
  </si>
  <si>
    <t>WOS:000242316000018</t>
  </si>
  <si>
    <t>Anchordoqui, LA; Glenz, MM; Parker, L</t>
  </si>
  <si>
    <t>Anchordoqui, Luis A.; Glenz, Matthew M.; Parker, Leonard</t>
  </si>
  <si>
    <t>Black holes at the IceCube neutrino telescope</t>
  </si>
  <si>
    <t>PHYSICAL REVIEW D</t>
  </si>
  <si>
    <t>LARGE EXTRA DIMENSIONS; HIGH-ENERGY NEUTRINOS; GRAVITATIONAL-RADIATION; FUNDAMENTAL STRINGS; PARTICLE CREATION; TEV-GRAVITY; BRANE; COLLISIONS; LIGHT; SPEED</t>
  </si>
  <si>
    <t>If the fundamental Planck scale is about a TeV and the cosmic neutrino flux is at the Waxman-Bahcall level, quantum black holes are created daily in the Antarctic ice cap. We reexamine the prospects for observing such black holes with the IceCube neutrino-detection experiment. To this end, we first revise the black hole production rate by incorporating the effects of inelasticty, i.e., the energy radiated in gravitational waves by the multipole moments of the incoming shock waves. After that we study in detail the process of Hawking evaporation accounting for the black hole's large momentum in the lab system. We derive the energy spectrum of the Planckian cloud which is swept forward with a large, O(10(6)), Lorentz factor. (It is noteworthy that the boosted thermal spectrum is also relevant for the study of near-extremal supersymmetric black holes, which could be copiously produced at the Large Hadron Collider.) In the semiclassical regime, we estimate the average energy of the boosted particles to be less than 20% the energy of the nu progenitor. Armed with such a constraint, we determine the discovery reach of IceCube by tagging on soft (relative to what one would expect from charged current standard model processes) muons escaping the electromagnetic shower bubble produced by the black hole's light descendants. The statistically significant 5 sigma excess extends up to a quantum gravity scale similar to 1.3 TeV.</t>
  </si>
  <si>
    <t>Univ Wisconsin, Dept Phys, Milwaukee, WI 53201 USA</t>
  </si>
  <si>
    <t>University of Wisconsin System; University of Wisconsin Milwaukee</t>
  </si>
  <si>
    <t>Anchordoqui, LA (corresponding author), Univ Wisconsin, Dept Phys, POB 413, Milwaukee, WI 53201 USA.</t>
  </si>
  <si>
    <t>AMER PHYSICAL SOC</t>
  </si>
  <si>
    <t>COLLEGE PK</t>
  </si>
  <si>
    <t>ONE PHYSICS ELLIPSE, COLLEGE PK, MD 20740-3844 USA</t>
  </si>
  <si>
    <t>1550-7998</t>
  </si>
  <si>
    <t>1550-2368</t>
  </si>
  <si>
    <t>PHYS REV D</t>
  </si>
  <si>
    <t>Phys. Rev. D</t>
  </si>
  <si>
    <t>10.1103/PhysRevD.75.024011</t>
  </si>
  <si>
    <t>Astronomy &amp; Astrophysics; Physics, Particles &amp; Fields</t>
  </si>
  <si>
    <t>131UQ</t>
  </si>
  <si>
    <t>WOS:000243896300049</t>
  </si>
  <si>
    <t>Hori, A; Hondoh, T</t>
  </si>
  <si>
    <t>Kuhs, WF</t>
  </si>
  <si>
    <t>Hori, A.; Hondoh, T.</t>
  </si>
  <si>
    <t>Theoretical study on gases in hexagonal ice investigated by the molecular orbital method</t>
  </si>
  <si>
    <t>PHYSICS AND CHEMISTRY OF ICE</t>
  </si>
  <si>
    <t>11th International Conference on Physics and Chemistry of Ice</t>
  </si>
  <si>
    <t>JUL 23-28, 2006</t>
  </si>
  <si>
    <t>Bremerhaven, GERMANY</t>
  </si>
  <si>
    <t>GLACIAL CYCLES; ANTARCTIC ICE; DIFFUSION; CORE; CLIMATE</t>
  </si>
  <si>
    <t>[Hori, A.; Hondoh, T.] Hokkaido Univ, Inst Low Temp Sci, Sapporo, Hokkaido 0600819, Japan</t>
  </si>
  <si>
    <t>Hokkaido University</t>
  </si>
  <si>
    <t>Hori, A (corresponding author), Kitami Inst Technol, Kouen Cho 165, Kitami, Hokkaido 0908507, Japan.</t>
  </si>
  <si>
    <t>horiak@mail.kitami-it.ac.jp</t>
  </si>
  <si>
    <t>HONDOH, TAKEO/E-7551-2011</t>
  </si>
  <si>
    <t>Japanese Ministry of Education, Science, Sports and Culture [14GS0202]; Grants-in-Aid for Scientific Research [14GS0202] Funding Source: KAKEN</t>
  </si>
  <si>
    <t>Japanese Ministry of Education, Science, Sports and Culture(Ministry of Education, Culture, Sports, Science and Technology, Japan (MEXT)); Grants-in-Aid for Scientific Research(Ministry of Education, Culture, Sports, Science and Technology, Japan (MEXT)Japan Society for the Promotion of ScienceGrants-in-Aid for Scientific Research (KAKENHI))</t>
  </si>
  <si>
    <t>This study was partially supported by the Japanese Ministry of Education, Science, Sports and Culture, Grant-in-Aid for Creative Scientific Research, 14GS0202, 2002-2006.</t>
  </si>
  <si>
    <t>THOMAS GRAHAM HOUSE, SCIENCE PARK, CAMBRIDGE CB4 4WF, CAMBS, ENGLAND</t>
  </si>
  <si>
    <t>978-0-85404-350-7</t>
  </si>
  <si>
    <t>Chemistry, Physical; Crystallography</t>
  </si>
  <si>
    <t>Chemistry; Crystallography</t>
  </si>
  <si>
    <t>BGM16</t>
  </si>
  <si>
    <t>WOS:000248298700023</t>
  </si>
  <si>
    <t>Jacobi, HW; Armor, T; Kwakye-Awuah, B; Hilker, B; Quansah, E</t>
  </si>
  <si>
    <t>Jacobi, H.-W.; Armor, T.; Kwakye-Awuah, B.; Hilker, B.; Quansah, E.</t>
  </si>
  <si>
    <t>A mechanism for photochemical reactions in the quasi-liquid layer of snow crystals in polar regions</t>
  </si>
  <si>
    <t>Physics and Chemistry of Ice</t>
  </si>
  <si>
    <t>ATMOSPHERIC BOUNDARY-LAYER; HYDROGEN-PEROXIDE H2O2; ARCTIC TROPOSPHERE; CARBONYL-COMPOUNDS; NITRATE SOLUTIONS; NITROGEN-DIOXIDE; ARTIFICIAL SNOW; ANTARCTIC SNOW; NO2 PRODUCTION; SURFACE SNOW</t>
  </si>
  <si>
    <t>Alfred Wegener Inst Polar &amp; Marine Res, D-27570 Bremerhaven, Germany</t>
  </si>
  <si>
    <t>Jacobi, HW (corresponding author), Alfred Wegener Inst Polar &amp; Marine Res, Handelshafen 12, D-27570 Bremerhaven, Germany.</t>
  </si>
  <si>
    <t>Annor, Thompson/AAW-3774-2020; Kwakye-Awuah, Bright/V-4995-2019</t>
  </si>
  <si>
    <t>Annor, Thompson/0000-0003-0686-2827; Kwakye-Awuah, Bright/0000-0003-1808-9288; Jacobi, Hans-Werner/0000-0003-2230-3136</t>
  </si>
  <si>
    <t>WOS:000248298700025</t>
  </si>
  <si>
    <t>Cowan, DA; Casanueva, A; Stafford, W</t>
  </si>
  <si>
    <t>Gerday, C; Glansdorff, N</t>
  </si>
  <si>
    <t>Cowan, Don A.; Casanueva, Ana; Stafford, William</t>
  </si>
  <si>
    <t>Ecology and Biodiversity of Cold-Adapted Microorganisms</t>
  </si>
  <si>
    <t>PHYSIOLOGY AND BIOCHEMISTRY OF EXTREMOPHILES</t>
  </si>
  <si>
    <t>MARINE PLANKTONIC ARCHAEA; MCMURDO DRY VALLEYS; IN-SITU HYBRIDIZATION; DEEP-SEA; PSYCHROPHILIC BACTERIA; SP-NOV.; LOW-TEMPERATURES; MARIANA TRENCH; ANTARCTIC ENVIRONMENTS; MOLECULAR ADAPTATIONS</t>
  </si>
  <si>
    <t>[Cowan, Don A.; Casanueva, Ana; Stafford, William] Univ Western Cape, Dept Biotechnol, ZA-7535 Cape Town, South Africa</t>
  </si>
  <si>
    <t>University of the Western Cape</t>
  </si>
  <si>
    <t>Cowan, DA (corresponding author), Univ Western Cape, Dept Biotechnol, ZA-7535 Cape Town, South Africa.</t>
  </si>
  <si>
    <t>Cowan, Donald A/E-3991-2012</t>
  </si>
  <si>
    <t>Cowan, Donald A/0000-0001-8059-861X</t>
  </si>
  <si>
    <t>AMER SOC MICROBIOLOGY</t>
  </si>
  <si>
    <t>WASHINGTON</t>
  </si>
  <si>
    <t>1752 N STREET NW, WASHINGTON, DC 20036-2904 USA</t>
  </si>
  <si>
    <t>978-1-55581-581-3</t>
  </si>
  <si>
    <t>BPD98</t>
  </si>
  <si>
    <t>WOS:000278640400011</t>
  </si>
  <si>
    <t>Russell, NJ</t>
  </si>
  <si>
    <t>Russell, Nicholas J.</t>
  </si>
  <si>
    <t>Psychrophiles: Membrane Adaptations</t>
  </si>
  <si>
    <t>POLYUNSATURATED FATTY-ACIDS; NUCLEAR MAGNETIC-RESONANCE; LAIDLAWII B-MEMBRANES; ACYL CHAIN ORDER; BACILLUS-SUBTILIS; METHANOCOCCOIDES-BURTONII; LISTERIA-MONOCYTOGENES; THERMAL ADAPTATION; ANTARCTIC ARCHAEON; ESCHERICHIA-COLI</t>
  </si>
  <si>
    <t>Univ London Imperial Coll Sci Technol &amp; Med, Ashford TN25 5AH, Kent, England</t>
  </si>
  <si>
    <t>Imperial College London</t>
  </si>
  <si>
    <t>Russell, NJ (corresponding author), Univ London Imperial Coll Sci Technol &amp; Med, Wye Campus, Ashford TN25 5AH, Kent, England.</t>
  </si>
  <si>
    <t>WOS:000278640400014</t>
  </si>
  <si>
    <t>Collins, T; D'Amico, S; Marx, JC; Feller, G; Gerday, C</t>
  </si>
  <si>
    <t>Collins, Tony; D'Amico, Salvino; Marx, Jean-Claude; Feller, Georges; Gerday, Charles</t>
  </si>
  <si>
    <t>Cold-Adapted Enzymes</t>
  </si>
  <si>
    <t>ACTIVE CITRATE SYNTHASE; LOW-TEMPERATURE OPTIMA; PSYCHROPHILIC ENZYMES; ANTARCTIC BACTERIUM; CRYSTAL-STRUCTURE; BETA-GALACTOSIDASE; PSYCHROTROPHIC BACTERIA; DIHYDROFOLATE-REDUCTASE; STRUCTURAL ADAPTATIONS; EXTRACELLULAR ENZYMES</t>
  </si>
  <si>
    <t>[Collins, Tony; D'Amico, Salvino; Marx, Jean-Claude; Feller, Georges; Gerday, Charles] Univ Liege, Inst Chem, B-4000 Liege, Belgium</t>
  </si>
  <si>
    <t>University of Liege</t>
  </si>
  <si>
    <t>Collins, T (corresponding author), Univ Liege, Inst Chem, B6, B-4000 Liege, Belgium.</t>
  </si>
  <si>
    <t>Collins, Tony/A-3484-2012</t>
  </si>
  <si>
    <t>Collins, Tony/0000-0002-4167-973X</t>
  </si>
  <si>
    <t>WOS:000278640400015</t>
  </si>
  <si>
    <t>Reiter, R; Green, ATG; Schroeter, B; Türk, R</t>
  </si>
  <si>
    <t>Reiter, Robert; Green, Allan T. G.; Schroeter, Burkhard; Tuerk, Roman</t>
  </si>
  <si>
    <t>Photosynthesis of three Umbilicaria species from lichen-dominated communities of the alpine/nival belt of the Alps measured under controlled conditions</t>
  </si>
  <si>
    <t>PHYTON-ANNALES REI BOTANICAE</t>
  </si>
  <si>
    <t>lichens; photosynthesis; Umbilicaria; alpine/nival ecotone; temperature; light</t>
  </si>
  <si>
    <t>WATER RELATIONS; CO2 EXCHANGE; CHLOROPHYLL; APRINA</t>
  </si>
  <si>
    <t>The CO2 exchange performances of three Umbilicaria species, U. decussata, U. cylindrica and U. virginis, were measured as part of a programme looking at adaptations of alpine lichens. Response curves of net photosynthesis (NP) to PPFD (photosynthetic photon flux density, 0 to 1500 mu mol m(-2) s(-1)) and temperature (-5 to 30 degrees C) were generated under laboratory conditions. All species showed the typical saturation response of NP to PPFD with saturation being almost reached at 1500 mu mol m(-2) s(-1), the highest PPFD used. NP response to temperature had the same general form for all species with depressed values at low and high temperatures. Temperature optima were between 10.9 degrees C (U. decussata) and 12.2 degrees C (U. virginis). At 1500 mu mol m(-2) s(-1), NP was still positive, but low, at -5 degrees C, and for one species even at 30 degrees C giving a very broad temperature range with substantial NP for all the species. The species fitted the general pattern of lower maximal NP for alpine and antarctic Umbilicaria species and higher for montane species with the exception of U. virginis which behaved more like a montane species. It is possible that this is a result of it being a more shade-adapted species and its exceptional behaviour emphasizes the importance of microclimate in these extreme environments.</t>
  </si>
  <si>
    <t>Salzburg Univ, Fachbereich Organ Biol, A-5020 Salzburg, Austria; Univ Waikato, Hamilton, New Zealand; Univ Kiel, Inst Bot, D-24098 Kiel, Germany</t>
  </si>
  <si>
    <t>Salzburg University; University of Waikato; University of Kiel</t>
  </si>
  <si>
    <t>Reiter, R (corresponding author), Salzburg Univ, Fachbereich Organ Biol, Hellbrunnerstr 34, A-5020 Salzburg, Austria.</t>
  </si>
  <si>
    <t>FERDINAND BERGER SOEHNE</t>
  </si>
  <si>
    <t>HORN</t>
  </si>
  <si>
    <t>WIENER STRASSE 21-23, A-3580 HORN, AUSTRIA</t>
  </si>
  <si>
    <t>0079-2047</t>
  </si>
  <si>
    <t>PHYTON-ANN REI BOT A</t>
  </si>
  <si>
    <t>Phyton-Ann. REI Bot.</t>
  </si>
  <si>
    <t>178KZ</t>
  </si>
  <si>
    <t>WOS:000247220900016</t>
  </si>
  <si>
    <t>Fedosenkoa, O; Loza, E; Poperenko, LV</t>
  </si>
  <si>
    <t>Stockman, MI</t>
  </si>
  <si>
    <t>Fedosenkoa, Oliana; Loza, Eugene; Poperenko, Leonid V.</t>
  </si>
  <si>
    <t>Application of Kramers-Kronig method for analysis Fe-based alloys</t>
  </si>
  <si>
    <t>PLASMONICS: METALLIC NANOSTRUCTURES AND THEIR OPTICAL PROPERTIES V</t>
  </si>
  <si>
    <t>Conference on Plasmonics - Metallic Nanostructures and their Optical Properties V</t>
  </si>
  <si>
    <t>AUG 26-29, 2007</t>
  </si>
  <si>
    <t>Kramers-Kronig analysis; amorphous strings; Fe-based alloys; plasma frequency</t>
  </si>
  <si>
    <t>The approach described in the present paper was applied for analysis of Fe-based amorphous and crystallized alloys. All the analyzed specimens have Sw similar to 1. Using classical approach to the Kramers-Kronig transform this value is insufficient for refraction index and therefore optical conductivity determination. The present paper considers new ways of Kramers-Kronig transform accuracy increase by use of high-order quadrature method and new approach to reflectivity extrapolation. Using the advanced described approach a set of amorphous and crystallized alloys of Fe80TM5B15 type was analyzed where TM is the 3d-transition metal. It is shown while adding a small amount of Ti, V or Cr the observed plasma frequency tends to be about 3 to 4 eV higher than in case Mn, Co or Ni impurity was added. The proposed method error of the optical constants determination estimate is not greater than 15% for refraction and absorption indexes and 25% for conductivity even in case experimental spectral range is relatively small. Plasma frequency of analyzed specimens was calculated. The methods of plasma frequency determination were compared. Determination of base points by direct method allows significant accuracy increase and adequate error estimation of this value.</t>
  </si>
  <si>
    <t>[Fedosenkoa, Oliana; Poperenko, Leonid V.] Kyiv Natl Taras Shevchenko Univ, Glushkova Ave 2,Bldg 1, UA-03680 Kiev, Ukraine; [Loza, Eugene] Natl Antarctic Sci Ctr, UA-0160 Kiev, Ukraine</t>
  </si>
  <si>
    <t>Fedosenkoa, O (corresponding author), Kyiv Natl Taras Shevchenko Univ, Glushkova Ave 2,Bldg 1, UA-03680 Kiev, Ukraine.</t>
  </si>
  <si>
    <t>Poperenko, Leonid/0000-0003-4931-9066</t>
  </si>
  <si>
    <t>978-0-8194-6789-8</t>
  </si>
  <si>
    <t>66411Y</t>
  </si>
  <si>
    <t>10.1117/12.732418</t>
  </si>
  <si>
    <t>Engineering, Electrical &amp; Electronic; Nanoscience &amp; Nanotechnology; Materials Science, Coatings &amp; Films; Optics</t>
  </si>
  <si>
    <t>Engineering; Science &amp; Technology - Other Topics; Materials Science; Optics</t>
  </si>
  <si>
    <t>BHB55</t>
  </si>
  <si>
    <t>WOS:000252083900028</t>
  </si>
  <si>
    <t>Yamamoto, M; Morgan, JP; Morgan, WJ</t>
  </si>
  <si>
    <t>Foulger, GR; Jurdy, DM</t>
  </si>
  <si>
    <t>Yamamoto, Michiko; Morgan, Jason Phipps; Morgan, W. Jason</t>
  </si>
  <si>
    <t>Global plume-fed asthenosphere flow-II: Application to the geochemical segmentation of mid-ocean ridges</t>
  </si>
  <si>
    <t>PLATES, PLUMES AND PLANETARY PROCESSES</t>
  </si>
  <si>
    <t>asthenosphere flow; plume-ridge interaction; geochemistry</t>
  </si>
  <si>
    <t>MID-ATLANTIC RIDGE; SOUTHEAST INDIAN RIDGE; EAST PACIFIC RISE; ICELAND MANTLE PLUME; ISOTOPE SYSTEMATICS; KERGUELEN PLATEAU; TRIPLE JUNCTION; SPREADING RIDGE; HOTSPOT; OCEAN</t>
  </si>
  <si>
    <t>Asthenosphere plume-to-ridge flow has often been proposed to explain both the existence of geochemical anomalies at the mid-ocean ridge segments nearest an off-axis hotspot and the existence of apparent geochemical provinces within the global mid-ocean spreading system. We have constructed a thin-spherical-shell finite element model to explore the possible structure of global asthenosphere flow and to determine whether plume-fed asthenosphere flow is compatible with present-day geochemical and geophysical observations. The assumptions behind the physical flow model are described in the companion paper to this study. Despite its oversimplifications (especially the steady-state assumption), Atlantic, Indian, and Pacific mid- ocean ridge isotope geochemistry can be fit well at medium and long wavelengths by the predicted global asthenosphere flow pattern from distinct plume sources. The model suggests that the rapidly northward-moving southern margin of Australia, not the Australia-Antarctic discordance, is the convergence zone for much plume material in the southern hemisphere. It also suggests a possible link between the strike of asthenosphere flow with respect to a ridge axis and along-axis isotopic peaks.</t>
  </si>
  <si>
    <t>[Yamamoto, Michiko; Morgan, Jason Phipps] Cornell Univ, Dept Earth &amp; Atmospher Sci, Inst Study Continents, Ithaca, NY 14853 USA; [Morgan, W. Jason] Harvard Univ, Dept Earth &amp; Planetary Sci, Cambridge, MA 02138 USA</t>
  </si>
  <si>
    <t>Cornell University; Harvard University</t>
  </si>
  <si>
    <t>Yamamoto, M (corresponding author), Cornell Univ, Dept Earth &amp; Atmospher Sci, Inst Study Continents, Snee Hall, Ithaca, NY 14853 USA.</t>
  </si>
  <si>
    <t>my83@cornell.edu; jp369@cornell.edu</t>
  </si>
  <si>
    <t>Morgan, Jason/0000-0002-3100-0877</t>
  </si>
  <si>
    <t>978-0-8137-2430-0</t>
  </si>
  <si>
    <t>10.1130/2007.2430(10)</t>
  </si>
  <si>
    <t>BMA58</t>
  </si>
  <si>
    <t>WOS:000271667800020</t>
  </si>
  <si>
    <t>Sager, WW</t>
  </si>
  <si>
    <t>Sager, William W.</t>
  </si>
  <si>
    <t>Divergence between paleomagnetic and hotspot-model-predicted polar wander for the Pacific plate with implications for hotspot fixity</t>
  </si>
  <si>
    <t>paleomagnetism; polar wander; Pacific; hotspots; Hawaiian seamounts; Emperor seamounts</t>
  </si>
  <si>
    <t>SEA-DRILLING-PROJECT; HAWAIIAN HOTSPOT; GEOMAGNETIC-FIELD; LATITUDINAL SHIFT; CONVECTION PLUMES; MANTLE CONVECTION; APPARENT; MOTION; SEAMOUNTS; HISTORY</t>
  </si>
  <si>
    <t>mantle plumes (hotspots) are fixed in the mantle and the mantle reference frame does not move relative to the spin axis (i.e., true polar wander), a model of plate motion relative to the hotspots should predict the positions of past paleomagnetic poles. Discrepancies between modeled and observed poles thus may indicate problems with these assumptions, for example, that the hotspots or spin axis have shifted. In this study, I compare paleomagnetic and hotspot-model-predicted apparent polar wander paths (APWP) for the Pacific plate. Overall, the two types of APWP have similar shapes, indicating general agreement. Both suggest similar to 40 degrees total northward drift of the Pacific plate since ca. 123 Ma. Offset between paleomagnetic and hotspot-predicted poles is small for the past ca. 49 Ma, consistent with fixed hotspots during that time, but the offsets are large (6-15 degrees) for earlier times. These differences appear significant for the Late Cretaceous and early Cenozoic. During the period 94-49 Ma, the hotspot model implies the paleomagnetic pole should have drifted similar to 20 degrees north without great changes in rate. Measured paleomagnetic poles, however, indicate rapid polar motion between 94 and 80 Ma and a stillstand from 80 to 49 Ma. Comparison with global synthetic APWP suggests that the 94- to 80-Ma polar motion may be related to true polar wander. The stillstand indicates negligible northward motion of the Pacific plate during the formation of the Emperor seamounts. This observation is drastically different from most accepted Pacific plate motion models and requires rethinking of western Pacific tectonics. If the Emperor seamounts show relative motion of the plate relative to the Hawaiian hotspot, the implied southward hotspot motion is similar to 19 degrees. Lack of a diagnostic coeval phase of polar wandering in global APWP and consideration of the significance of the Hawaiian-Emperor bend imply that true polar wander is probably not the cause. Likewise, mantle-flow models do not readily explain the large southward drift of the hotspot or its inferred large westward velocity component. Thus, current models for the formation of the Emperor seamounts appear inadequate, and new ideas and further study are needed. Comparison of the Pacific APWP with a global APWP, both rotated into the Antarctic reference frame, shows an offset of similar to 10 degrees, implying problems with plate circuits connecting Antarctica with surrounding plates. This result suggests that caution is required when predicting trends of hotspot seamount chains using plate circuits through Antarctica.</t>
  </si>
  <si>
    <t>Sager, WW (corresponding author), Texas A&amp;M Univ, Dept Oceanog, 317 Eller Bldg, College Stn, TX 77843 USA.</t>
  </si>
  <si>
    <t>wsager@ocean.tamu.edu</t>
  </si>
  <si>
    <t>10.1130/2007.2430(17)</t>
  </si>
  <si>
    <t>WOS:000271667800031</t>
  </si>
  <si>
    <t>Vacchi, M; Bottaro, M; Pisano, E; Eastman, JT; Eakin, RR</t>
  </si>
  <si>
    <t>Vacchi, Marino; Bottaro, Massimiliano; Pisano, Eva; Eastman, Joseph T.; Eakin, Richard R.</t>
  </si>
  <si>
    <t>Aspects of gonadal morphology in the South Georgian plunderfish Artedidraco mirus (Perciformes: Artedidraconidae)</t>
  </si>
  <si>
    <t>POLAR BIOLOGY</t>
  </si>
  <si>
    <t>ROSS SEA; REPRODUCTIVE-BIOLOGY; POGONOPHRYNE PISCES; FISHES; NOTOTHENIOIDEI; HARPAGIFERIDAE; ANTARCTICA</t>
  </si>
  <si>
    <t>Research on reproduction in Antarctic fishes has been primarily focused on evaluation of macroscopic features while microscopic studies have been limited to very few species. In particular no data are available on plunderfishes of the family Artedidraconidae. In order to provide a preliminary description of gonads in the South Georgian plunderfish Artedidraco mirus morphological observations on ovary and testis were carried out using both macroscopic and histological approaches. All fishes were collected during the ICEFISH cruise, at South Georgia Island in June 2004. The ovary was a typical hollow structure: from the ovarian wall connective tissue projected into the ovarian cavity forming ovigerous folds where oocytes were located. The testis was of the lobular-type with lobules defined by connective tissue septa within the testicular wall. The presence of specimens showing post-spawning features suggested that the spawning process was being concluded during the sampling period.</t>
  </si>
  <si>
    <t>Univ Genoa, ICRAM, MNA, I-16132 Genoa, Italy; Univ Genoa, Dipartimento Biol, I-16132 Genoa, Italy; Ohio Univ, Dept Biomed Sci, Athens, OH 45701 USA; Univ New England, Dept Biol Sci, Biddeford, ME 04005 USA</t>
  </si>
  <si>
    <t>University of Genoa; University of Genoa; University System of Ohio; Ohio University; University of New England - Maine</t>
  </si>
  <si>
    <t>Vacchi, M (corresponding author), Univ Genoa, ICRAM, MNA, Viale Benedetto XV 5, I-16132 Genoa, Italy.</t>
  </si>
  <si>
    <t>m.vacchi@unige.it</t>
  </si>
  <si>
    <t>Eastman, Joseph T./O-6150-2019; Eastman, Joseph T/A-9786-2008</t>
  </si>
  <si>
    <t>Eastman, Joseph T./0000-0003-3868-261X; Bottaro, Massimiliano/0000-0001-7995-5288</t>
  </si>
  <si>
    <t>0722-4060</t>
  </si>
  <si>
    <t>1432-2056</t>
  </si>
  <si>
    <t>POLAR BIOL</t>
  </si>
  <si>
    <t>Polar Biol.</t>
  </si>
  <si>
    <t>10.1007/s00300-006-0167-9</t>
  </si>
  <si>
    <t>Biodiversity Conservation; Ecology</t>
  </si>
  <si>
    <t>Biodiversity &amp; Conservation; Environmental Sciences &amp; Ecology</t>
  </si>
  <si>
    <t>114TJ</t>
  </si>
  <si>
    <t>WOS:000242688200001</t>
  </si>
  <si>
    <t>Wienecke, B; Robertson, G; Kirkwood, R; Lawton, K</t>
  </si>
  <si>
    <t>Wienecke, Barbara; Robertson, Graham; Kirkwood, Roger; Lawton, Kieran</t>
  </si>
  <si>
    <t>Extreme dives by free-ranging emperor penguins</t>
  </si>
  <si>
    <t>APTENODYTES-FORSTERI; MAWSON COAST; DIVING BEHAVIOR; ANTARCTICA; ECOLOGY; BIRDS; PHYSIOLOGY; ANIMALS; MAMMALS; CHICKS</t>
  </si>
  <si>
    <t>We examined the incidence of extreme diving in a 3-year overwintering study of emperor penguins Aptenodytes forsteri in East Antarctica. We defined extreme dives as very deep (&gt; 400 m) and/or very long (&gt; 12 min). Of 137364 dives recorded by 93 penguins 264 dives reached depths &gt; 400 m and 48 lasted &gt; 12 min. Most (65%) very long dives occurred in winter (May-August) while 83% of the very deep dives took place in spring (September-November). The two most extreme dives (564 m depth, 21.8 min duration) were separate dives and were performed by different individual penguins. Penguins diving extremely deeply may have done so as part of their foraging strategy whereas penguins diving for very long times may have been forced to do so by changes in the sea-ice conditions.</t>
  </si>
  <si>
    <t>Australian Antarctic Div, Kingston, Tas 7050, Australia; Philip Isl Nat Pk, Cowes, Vic 3922, Australia</t>
  </si>
  <si>
    <t>Wienecke, B (corresponding author), Australian Antarctic Div, Channel Highway, Kingston, Tas 7050, Australia.</t>
  </si>
  <si>
    <t>barbara.wienecke@aad.gov.au</t>
  </si>
  <si>
    <t>Kirkwood, Roger/0000-0003-4221-4050</t>
  </si>
  <si>
    <t>10.1007/s00300-006-0168-8</t>
  </si>
  <si>
    <t>WOS:000242688200002</t>
  </si>
  <si>
    <t>Roberts, D; Craven, M; Cai, MH; Allison, I; Nash, G</t>
  </si>
  <si>
    <t>Roberts, D.; Craven, M.; Cai, Minghong; Allison, I.; Nash, G.</t>
  </si>
  <si>
    <t>Protists in the marine ice of the Amery Ice Shelf, East Antarctica</t>
  </si>
  <si>
    <t>SOUTHERN-OCEAN SEDIMENTS; WATER-COLUMN ASSEMBLAGES; MAJOR DIATOM TAXA; SEA-ICE; SURFACE SEDIMENTS; MASS-BALANCE; WEDDELL SEA; BENEATH; PHYTOPLANKTON; BIOGEOGRAPHY</t>
  </si>
  <si>
    <t>Samples of marine ice were collected from the Amery Ice Shelf, a large embayed ice shelf in East Antarctica, during the Austral summer of 2001-2002. The samples came from a site -90 km from the iceberg calving front of the shelf, where the ice is 479 m thick and the lower 203 m is composed of accreted marine ice. Protists identified within the marine ice layer of the Amery Ice Shelf include diatoms, chrysophytes, silicoflagellates and dinoflagellates. The numerical dominance of sea ice indicator diatoms such as Fragilariopsis curta, Fragilariopsis cylindrus, Fragilariopsis rhombica and Chaetoceros resting spores, and the presence of cold open water diatoms such as Fragilariopsis kerguelensis and species of Thalassiosira suggest the protist composition of the Amery marine ice is attributable to seeding from melting pack and/or fast ice protist communities in the highly productive waters of Prydz Bay to the north.</t>
  </si>
  <si>
    <t>Antarctic Climate &amp; Ecosyst Cooperat Res Ctr, Hobart, Tas 7001, Australia; Australian Antarctic Div, Kingston, Tas 7050, Australia; Polar Res Inst China, Shanghai 200129, Peoples R China</t>
  </si>
  <si>
    <t>Antarctic Climate &amp; Ecosystems Cooperative Research Centre (ACE CRC); Australian Antarctic Division; Polar Research Institute of China</t>
  </si>
  <si>
    <t>Craven, M (corresponding author), Antarctic Climate &amp; Ecosyst Cooperat Res Ctr, Private Bag 80, Hobart, Tas 7001, Australia.</t>
  </si>
  <si>
    <t>D.Roberts@utas.edu.au; m.craven@utas.edu.au</t>
  </si>
  <si>
    <t>Allison, Ian F/I-4477-2015</t>
  </si>
  <si>
    <t>Allison, Ian F/0000-0001-9599-0251; Roberts, Donna/0000-0001-6701-6662</t>
  </si>
  <si>
    <t>10.1007/s00300-006-0169-7</t>
  </si>
  <si>
    <t>WOS:000242688200003</t>
  </si>
  <si>
    <t>Sanchez, S; Dettaï, A; Bonillo, C; Ozouf-Costaz, C; Detrich, HW; Lecointre, G</t>
  </si>
  <si>
    <t>Sanchez, Sophie; Dettai, Agnes; Bonillo, Celine; Ozouf-Costaz, Catherine; Detrich, H. William, III; Lecointre, Guillaume</t>
  </si>
  <si>
    <t>Molecular and morphological phylogenies of the Antarctic teleostean family Nototheniidae, with emphasis on the Trematominae</t>
  </si>
  <si>
    <t>MITOCHONDRIAL PHYLOGENY; GENE-SEQUENCES; EVOLUTION; FISHES; PERCIFORMES; SEARCH; CLADES</t>
  </si>
  <si>
    <t>Four independent molecular data sets were sequenced in order to solve longstanding phylogenetic problems among Antarctic teleosts of the family Nototheniidae. The anatomical data of Balushkin (2000) were also coded into a matrix of 106 characters in order to test the parsimony of his taxonomic conclusions. Molecular results confirm Balushkin's Pleuragrammatinae but not his Nototheniinae. Different genes used here found the clade A establishing the paraphyly of the Nototheniinae sensu lato; i.e. Lepidonotothen and Patagonotothen are more closely related to the Trematominae than to Notothenia. The genus Notothenia is paraphyletic and Paranotothenia should become Notothenia. Previously no molecular data set could assign a reliable position for the genus Gobionotothen. For the first time robust results are obtained for the phylogeny among the Trematominae. Trematomus scotti is the sister-group of all others, then Trematomus newnesi emerges, then Trematomus eulepidotus. Among the crown group, three clades emerge: 1: Trematomus hansoni + Trematomus bernacchii + Trematomus vicarius; 2: Trematomus pennellii + Trematomus lepidorhinus + Trematomus loennbergii; 3: Trematomus (Pagothenia) borchgrevinki + Trematomus nicolai. Pagothenia should become Trematomus to make the genus Trematomus monophyletic. The Trematomus tree found here did not match the topology obtained with Balushkin's morphological matrix. The tree shows that the tendencies shown by some trematomines to secondarily colonize the water column are not gained through common ancestry.</t>
  </si>
  <si>
    <t>Museum Natl Hist Nat, Dept Systemat &amp; Evolut, UMR 7138, CNRS, F-75231 Paris 05, France; Museum Natl Hist Nat, CNRS, Serv Systemat Mol, IFR 101, F-75231 Paris 05, France; Northeastern Univ, Boston, MA 02115 USA</t>
  </si>
  <si>
    <t>Museum National d'Histoire Naturelle (MNHN); Centre National de la Recherche Scientifique (CNRS); CNRS - National Institute for Biology (INSB); Sorbonne Universite; Museum National d'Histoire Naturelle (MNHN); Centre National de la Recherche Scientifique (CNRS); Northeastern University</t>
  </si>
  <si>
    <t>Lecointre, G (corresponding author), Museum Natl Hist Nat, Dept Systemat &amp; Evolut, UMR 7138, CNRS, CP26,43 Rue Cuvier, F-75231 Paris 05, France.</t>
  </si>
  <si>
    <t>lecointr@mnhn.fr</t>
  </si>
  <si>
    <t>Dettai, Agnes/Q-6743-2019; Dettai, Agnes/E-7838-2010; Sanchez-Brosseau, Sophie/F-6909-2010</t>
  </si>
  <si>
    <t>Sanchez-Brosseau, Sophie/0000-0001-8695-8030</t>
  </si>
  <si>
    <t>10.1007/s00300-006-0170-1</t>
  </si>
  <si>
    <t>WOS:000242688200004</t>
  </si>
  <si>
    <t>Park, JH; Day, TA; Strauss, S; Ruhland, CT</t>
  </si>
  <si>
    <t>Park, Ji-Hyung; Day, Thomas A.; Strauss, Sarah; Ruhland, Christopher T.</t>
  </si>
  <si>
    <t>Biogeochemical pools and fluxes of carbon and nitrogen in a maritime tundra near penguin colonies along the Antarctic Peninsula</t>
  </si>
  <si>
    <t>VASCULAR PLANTS; COLOBANTHUS-QUITENSIS; EXTRACTION METHOD; ISOTOPE RATIOS; CLIMATE-CHANGE; ECOSYSTEM; NUTRIENTS; ABUNDANCE; GROWTH; ISLAND</t>
  </si>
  <si>
    <t>There is limited information regarding biogeochemical pools and fluxes in maritime tundra ecosystems along the Antarctic Peninsula. To collect baseline information on biogeochemical processes in a tundra ecosystem dominated by two vascular plant species (Colobanthus quitensis and Deschampsia antarctica) at Biscoe Point off the coast of Anvers Island, we measured pools and fluxes of C and N in transplanted tundra microcosm cores, complemented with sampling of precipitation and surface runoff. Snow and snowmelt from the tundra collection site and soil leachates from the cores were enriched with N and dissolved organic carbon compared to precipitation and snowmelt samples collected at Palmer Station, indicating high loading of N and organic matter from the penguin colonies adjacent to the tundra site. Relatively high values of delta N-15 in the live and dead biomass of D. antarctica and C. quitensis (5.6-25.1 degrees C) indicated an enrichment of N in this tundra ecosystem, possibly through N inputs from adjacent penguin colonies. Stepwise multiple linear regressions found that ecosystem respiration and gross primary production were best predicted by live biomass of D. antarctica, suggesting a disproportionately high contribution of D. antarctica to CO2 fluxes. The cores with higher delta N-15 and lower delta C-13 in the soil organic horizon exhibited higher CO2 fluxes. The results suggest that abundant N inputs from penguin colonies and the competitive balance between plant species might play a critical role in the response of tundra ecosystems along the Antarctic Peninsula to projected climate change.</t>
  </si>
  <si>
    <t>Arizona State Univ, Sch Life Sci, Tempe, AZ 85287 USA; Mankato State Univ, Trafton Sci Ctr, Mankato, MN 56001 USA</t>
  </si>
  <si>
    <t>Arizona State University; Arizona State University-Tempe; Minnesota State Colleges &amp; Universities; Minnesota State University Mankato</t>
  </si>
  <si>
    <t>Park, JH (corresponding author), Gwangju Inst Sci &amp; Technol, Int Environm Res Ctr, 1 Oryong Dong, Kwangju 500712, South Korea.</t>
  </si>
  <si>
    <t>jihyungpark@yahoo.com</t>
  </si>
  <si>
    <t>Day, Thomas/B-1462-2008</t>
  </si>
  <si>
    <t>Day, Thomas/0000-0002-1582-4585</t>
  </si>
  <si>
    <t>10.1007/s00300-006-0173-y</t>
  </si>
  <si>
    <t>WOS:000242688200007</t>
  </si>
  <si>
    <t>Van Ngan, P; Gomes, V; Passos, MJACR; Ussami, KA; Campos, DYF; Rocha, AJD</t>
  </si>
  <si>
    <t>Van Ngan, Phan; Gomes, Vicente; Passos, Maria Jose A. C. R.; Ussami, Keyi A.; Campos, Debora Y. F.; da Silva Rocha, Arthur Jose</t>
  </si>
  <si>
    <t>Biomonitoring of the genotoxic potential (micronucleus and erythrocyte nuclear abnormalities assay) of the Admiralty Bay water surrounding the Brazilian Antarctic Research Station Comandante Ferraz, King George Island</t>
  </si>
  <si>
    <t>POLYCYCLIC AROMATIC-HYDROCARBONS; MARINE-ENVIRONMENT; MYTILUS-GALLOPROVINCIALIS; POLYCHLORINATED-BIPHENYLS; PHOTOINDUCED TOXICITY; SEWAGE POLLUTION; INDUCTION; SEDIMENTS; FISH; CHEMICALS</t>
  </si>
  <si>
    <t>The micronucleus (Mn) and other kinds of erythrocyte nuclear abnormality (ENA) assays were used to assess the genotoxic potential of the seawater in front of the Brazilian Antarctic Research Station Comandante Ferraz (King George Island). In two consecutive summers, the fish Trematomus newnesi was exposed to the seawater in front of the fuel storage tanks and the sewage discharge outlet of the Station in laboratory bioassays and in situ caging assays. After the exposure, frequencies of ENA and Mn were scored on blood smears. Significantly higher Mn and ENA frequencies in relation to those of the controls were observed in fish exposed to both types of water, in both types of experiment. Seawater in front of the fuel tanks and sewage discharge outlet at the Station was found to induce the formation of micronuclei and other ENAs, indicators of genotoxicity. The need for further investigation and the suitability of the methods for screening mutagenic pollution in polar waters are discussed.</t>
  </si>
  <si>
    <t>Univ Sao Paulo, Inst Oceanog, BR-05508900 Sao Paulo, SP, Brazil</t>
  </si>
  <si>
    <t>Universidade de Sao Paulo</t>
  </si>
  <si>
    <t>Van Ngan, P (corresponding author), Univ Sao Paulo, Inst Oceanog, Cidade Univ, BR-05508900 Sao Paulo, SP, Brazil.</t>
  </si>
  <si>
    <t>phanvn@usp.br</t>
  </si>
  <si>
    <t>Gomes, Vicente/C-5880-2015</t>
  </si>
  <si>
    <t>Gomes, Vicente/0000-0001-8201-2301</t>
  </si>
  <si>
    <t>233 SPRING ST, NEW YORK, NY 10013 USA</t>
  </si>
  <si>
    <t>10.1007/s00300-006-0174-x</t>
  </si>
  <si>
    <t>WOS:000242688200008</t>
  </si>
  <si>
    <t>Barbosa, A; Merino, S; Benzal, J; Martinez, J; García-Fraile, S</t>
  </si>
  <si>
    <t>Barbosa, Andres; Merino, Santiago; Benzal, Jesus; Martinez, Javier; Garcia-Fraile, Sonia</t>
  </si>
  <si>
    <t>Geographic variation in the immunoglobulin levels in pygoscelid penguins</t>
  </si>
  <si>
    <t>HOST IMMUNE DEFENSE; CELL-MEDIATED-IMMUNITY; BLOOD PARASITES; SEX-DIFFERENCES; SPLEEN SIZE; VACCINATION; CLIMATE; DISEASE; STRESS; HEALTH</t>
  </si>
  <si>
    <t>Antarctic organisms, including penguins, are susceptible to parasites and pathogens. Effects of infestation could differ in different locations along a geographical gradient from north to south consistent with conditions that affect the prevalence and virulence of parasites and pathogens. The immune system, including immunoglobulins as the main component of the humoral immune response, is the major way by which organisms confront infestation. We investigated the variation in immunoglobulin levels in three species of antarctic penguins (Pygoscelis antarctica, Pygoscelis papua, and Pygoscelis adeliae) along a geographical gradient from King George Island (62 degrees 15'S) to Avian Island (67 degrees 46'S). We found that immunoglobulin levels increased northwards in all the three species. This could indicate a higher impact of parasites and/or pathogens relative to the existing gradient in temperatures along this coast. Changing temperatures, consistent with global climate change, could be altering the ecology of parasite or pathogen infestation within the biota of northern Antarctica. We have also found marginal differences in immunoglobulin levels between sexes in both chinstrap and gentoo penguins.</t>
  </si>
  <si>
    <t>CSIC, Estac Expt Zonas Aridas, Dept Ecol Func &amp; Evolut, Almeria 04001, Spain; CSIC, Museo Nacl Ciencias Nat, Dept Ecol Evolut, E-28006 Madrid, Spain; Univ Alcala de Henares, Fac Farm, Dept Microbiol &amp; Parasitol, E-28871 Alcala De Henares, Spain</t>
  </si>
  <si>
    <t>Consejo Superior de Investigaciones Cientificas (CSIC); CSIC - Estacion Experimental de Zonas Aridas (EEZA); Consejo Superior de Investigaciones Cientificas (CSIC); CSIC - Museo Nacional de Ciencias Naturales (MNCN); Universidad de Alcala</t>
  </si>
  <si>
    <t>Barbosa, A (corresponding author), CSIC, Estac Expt Zonas Aridas, Dept Ecol Func &amp; Evolut, C Gen Segura 1, Almeria 04001, Spain.</t>
  </si>
  <si>
    <t>barbosa@eeza.csic.es</t>
  </si>
  <si>
    <t>Benzal, Jesús/T-4555-2017; Merino, Santiago/A-6183-2008; Barbosa, Andrés/C-3208-2008; Martinez, Javier/H-2827-2015</t>
  </si>
  <si>
    <t>Merino, Santiago/0000-0003-0603-8280; Barbosa, Andrés/0000-0001-8434-3649; Martinez, Javier/0000-0003-2657-1154</t>
  </si>
  <si>
    <t>10.1007/s00300-006-0175-9</t>
  </si>
  <si>
    <t>WOS:000242688200009</t>
  </si>
  <si>
    <t>Nievas, VF; Leotta, GA; Vigo, GB</t>
  </si>
  <si>
    <t>Nievas, Victorio F.; Leotta, Gerardo A.; Vigo, German B.</t>
  </si>
  <si>
    <t>Subcutaneous clostridial infection in Adelie penguins in Hope Bay, Antarctica</t>
  </si>
  <si>
    <t>MYONECROSIS</t>
  </si>
  <si>
    <t>During the 2000-2001 breeding season in Hope Bay, Antarctica, two adult Adelie penguins were found dead with lesions compatible with subcutaneous clostridial infection. Clostridium cadaveris was isolated from the musculature and the subcutaneous tissue of one of these two penguins, whereas Clostridium sporogenes was isolated from the subcutaneous tissue of the other penguin. Escherichia coli and Staphylococcus spp. were isolated from both animals. This is the first report of subcutaneous clostridial infection in Antarctic Adelie penguins.</t>
  </si>
  <si>
    <t>Natl Univ La Plata, Fac Ciencias Vet, Lab Diagnost &amp; Invest Bacteriol, RA-1900 La Plata, Argentina</t>
  </si>
  <si>
    <t>National University of La Plata</t>
  </si>
  <si>
    <t>Vigo, GB (corresponding author), Natl Univ La Plata, Fac Ciencias Vet, Lab Diagnost &amp; Invest Bacteriol, CC 296, RA-1900 La Plata, Argentina.</t>
  </si>
  <si>
    <t>gvigo@fcv.unlp.edu.ar</t>
  </si>
  <si>
    <t>10.1007/s00300-006-0179-5</t>
  </si>
  <si>
    <t>WOS:000242688200013</t>
  </si>
  <si>
    <t>Dawson, J</t>
  </si>
  <si>
    <t>Dawson, Jackie</t>
  </si>
  <si>
    <t>South of Sixty: Life on an Antarctic Base</t>
  </si>
  <si>
    <t>POLAR GEOGRAPHY</t>
  </si>
  <si>
    <t>[Dawson, Jackie] Univ Waterloo, Waterloo, ON, Canada</t>
  </si>
  <si>
    <t>University of Waterloo</t>
  </si>
  <si>
    <t>Dawson, J (corresponding author), Univ Waterloo, Waterloo, ON, Canada.</t>
  </si>
  <si>
    <t>1088-937X</t>
  </si>
  <si>
    <t>1939-0513</t>
  </si>
  <si>
    <t>POLAR GEOGR</t>
  </si>
  <si>
    <t>Polar Geogr.</t>
  </si>
  <si>
    <t>10.1080/10889370701666549</t>
  </si>
  <si>
    <t>Geography, Physical</t>
  </si>
  <si>
    <t>Physical Geography</t>
  </si>
  <si>
    <t>V64KR</t>
  </si>
  <si>
    <t>WOS:000211100400007</t>
  </si>
  <si>
    <t>Summerhayes, C; Beeching, P</t>
  </si>
  <si>
    <t>Summerhayes, Colin; Beeching, Peter</t>
  </si>
  <si>
    <t>Hitler's Antarctic base: the myth and the reality</t>
  </si>
  <si>
    <t>POLAR RECORD</t>
  </si>
  <si>
    <t>In January-February 1939, a secret German expedition visited Dronning (or Queen) Maud Land, Antarctica, apparently with the intention inter alia of establishing a base there. Between 1943 and 1945 the British launched a secret wartime Antarctic operation, code-named Tabarin. Men from the Special Air Services Regiment (SAS), Britain's covert forces for operating behind the lines, appeared to be involved. In July and August 1945, after the German surrender, two U-boats arrived in Argentina. Had they been to Antarctica to land Nazi treasure or officials? In the southern summer of 1946-1947, the US Navy appeared to 'invade' Antarctica using a large force. The operation, code-named Highjump, was classified confidential. In 1958, three nuclear weapons were exploded in the region, as part of another classified US operation, code-named Argus. Given the initial lack of information about these various activities, it is not, perhaps, surprising that some people would connect them to produce a pattern in which governments would be accused of suppressing information about 'what really happened', and would use these pieces of information to construct a myth of a large German base existing in Antarctica and of allied efforts to destroy it. Using background knowledge of Antarctica and information concerning these activities that has been published since the early 1940s, it is demonstrated: that the two U-Boats could not have reached Antarctica; that there was no secret wartime German base in Dronning Maud Land; that SAS troops did not attack the alleged German base; that the SAS men in the region at the time had civilian jobs; that Operation Highjump was designed to train the US Navy for a possible war with the Soviet Union in the Arctic, and not to attack an alleged German base in Antarctica; and that Operation Argus took place over the ocean more than 2000km north of Dronning Maud Land. Activities that were classified have subsequently been declassified and it is no longer difficult to separate fact from fancy, despite the fact that many find it attractive not to do so.</t>
  </si>
  <si>
    <t>Univ Cambridge, Scott Polar Res Inst, Cambridge CB2 1ER, England</t>
  </si>
  <si>
    <t>Summerhayes, C (corresponding author), Univ Cambridge, Scott Polar Res Inst, Lensfield Rd, Cambridge CB2 1ER, England.</t>
  </si>
  <si>
    <t>0032-2474</t>
  </si>
  <si>
    <t>POLAR REC</t>
  </si>
  <si>
    <t>POLAR REC.</t>
  </si>
  <si>
    <t>10.1017/S003224740600578X</t>
  </si>
  <si>
    <t>136AP</t>
  </si>
  <si>
    <t>WOS:000244195300001</t>
  </si>
  <si>
    <t>Savitt, R; Lüdecke, C</t>
  </si>
  <si>
    <t>Savitt, Ronald; Luedecke, Cornelia</t>
  </si>
  <si>
    <t>Legacies of the Jackson-Harmsworth expedition, 1894-1897</t>
  </si>
  <si>
    <t>Frederick George Jackson, the leader of the Jackson-Harmsworth Expedition of 1894-1897, accomplished a great deal during his exploration of Franz Josef Land [Zemlya Frantsa-Iosifa] although his achievements have never been fully acknowledged. Jackson's expedition itself has often been eclipsed by his famous meeting in 1896 with Fridtjof Nansen, absent for 3 years in the Arctic and it has been unfairly coloured by the view that Jackson was no more than an adventurer and sportsman. The research reported in this article evaluates Jackson's plan and management activities. The study developed a set of factors to evaluate his performance arising from a variety of expeditions contemporary with Jackson's. His strong personality and limited personnel managerial experience limited the full extent of what he might have achieved. Yet, Jackson developed a strong exploration model that was based on comprehensive planning, a significant concern for the health and welfare of his companions, the willingness to innovate in a number of activities including sledging, and a commitment to scientific discovery. Although the expedition did not find a route to the North Pole, Jackson confirmed that Franz Josef Land was an archipelago and he gave credence to the consumption of fresh meat as a means of preventing scurvy. One of Jackson's legacies to subsequent explorers was the use of ponies for haulage. He was unable to appreciate the weaknesses in their use and his influence on subsequent Antarctic expeditions often led to undesirable results. But, overall, Jackson was an innovator in a conservative exploration community.</t>
  </si>
  <si>
    <t>Inst Hist Nat Sci Math &amp; Technol, D-81371 Munich, Germany</t>
  </si>
  <si>
    <t>Savitt, R (corresponding author), 2702 NE Bryce St, Portland, OR 97212 USA.</t>
  </si>
  <si>
    <t>10.1017/S0032247406005791</t>
  </si>
  <si>
    <t>WOS:000244195300005</t>
  </si>
  <si>
    <t>Troncoso, JS; Aldea, C; Arnaud, P; Ramos, A; Garcia, F</t>
  </si>
  <si>
    <t>Troncoso, Jesus S.; Aldea, Cristian; Arnaud, Patrick; Ramos, Ana; Garcia, Francisco</t>
  </si>
  <si>
    <t>Quantitative analysis of soft-bottom molluscs in the Bellingshausen Sea and around Peter I Island</t>
  </si>
  <si>
    <t>POLAR RESEARCH</t>
  </si>
  <si>
    <t>soft-bottom; molluscs; Bellingshausen Sea; Peter I Island</t>
  </si>
  <si>
    <t>SOUTH-SHETLAND ISLANDS; BAY ROSS SEA; ANTARCTICA; ASSEMBLAGES; DIVERSITY; SHALLOW</t>
  </si>
  <si>
    <t>Macrobenthic soft-bottom molluscs were sampled in 30 stations located in the Bellingshausen Sea at depths ranging from 90 to 3304 m. The samples were collected Using a quantitative grab box-corer during the cruises BENTART 03, from 24 January to 3 March 2003, and BENTART 06, from 2 January to 16 February 2006. Molluscs represent 1074 specimens belonging to 62 species of Polyplacophora, Grastropoda, Bivalvia and Scaphopoda. The bivalve Cyamiocardium denticulatum was the most abundant species (448 specimens). The abundance per station varied between I and 446 specimens. The Shannon-Wiener diversity index ranged between one specimen and 2.36, the Pielou evenness index ranged between 0.00 and 1 and species richness ranged from 1 to 14 species. Diversity showed great variations at different stations. After multivariate analysis (cluster analysis and nonmetrical multidimensional scaling) based on Bray-Curtis similarities, we were able to separate two principal clusters. The first cluster groups together species from shallower bottoms near Peter I island and the Antarctic Peninsula, and the second cluster groups together species from deeper bottoms in the Bellingshausen Sea. The combination of environmental variables with the highest correlations with faunistic data was that of depth and coarse sand at the surface.</t>
  </si>
  <si>
    <t>Univ Vigo, Dept Ecol Biol Anim, Fac Ciencias Mar, E-36310 Vigo, Spain; Univ Vigo, Fdn Ctr Studies Cualternario Fuego Patagonay Anta, Dept Ecol &amp; Biol Anim, Punta Arcenas, Chile; Le Jas Batanis, F-04110 Vacheres, France; IEO Ctr Oceanografico, Vigo, Spain; Univ pablo Olavide, Dept Sistema Fisicos, Fac Ciencias Expt, Seville, Spain</t>
  </si>
  <si>
    <t>Universidade de Vigo; Universidade de Vigo; Universidad Pablo de Olavide</t>
  </si>
  <si>
    <t>Troncoso, JS (corresponding author), Univ Vigo, Dept Ecol Biol Anim, Fac Ciencias Mar, Campus Lagoas Marcosende, E-36310 Vigo, Spain.</t>
  </si>
  <si>
    <t>troncoso@uvigo.es</t>
  </si>
  <si>
    <t>Aldea, Cristian/J-5391-2013; García-Garcia, Francisco J/D-5516-2013; Troncoso, Jesus/L-1823-2017</t>
  </si>
  <si>
    <t>García-Garcia, Francisco J/0000-0002-6852-4498; Aldea, Cristian/0000-0002-4473-6509; Troncoso, Jesus/0000-0002-7305-6879</t>
  </si>
  <si>
    <t>BLACKWELL PUBLISHING</t>
  </si>
  <si>
    <t>9600 GARSINGTON RD, OXFORD OX4 2DQ, OXON, ENGLAND</t>
  </si>
  <si>
    <t>0800-0395</t>
  </si>
  <si>
    <t>POLAR RES</t>
  </si>
  <si>
    <t>Polar Res.</t>
  </si>
  <si>
    <t>10.1111/j.1751-8369.2007.00033.x</t>
  </si>
  <si>
    <t>Ecology; Geosciences, Multidisciplinary; Oceanography</t>
  </si>
  <si>
    <t>Environmental Sciences &amp; Ecology; Geology; Oceanography</t>
  </si>
  <si>
    <t>209NU</t>
  </si>
  <si>
    <t>hybrid, Green Published</t>
  </si>
  <si>
    <t>WOS:000249396100008</t>
  </si>
  <si>
    <t>Dastidar, PG</t>
  </si>
  <si>
    <t>Dastidar, Prabir G.</t>
  </si>
  <si>
    <t>National and institutional productivity and collaboration in Antarctic science: an analysis of 25 years of journal publications (1980-2004)</t>
  </si>
  <si>
    <t>Antarctic science; journal articles; knowledge mapping; network analysis; Science Citation Index; scientometrics</t>
  </si>
  <si>
    <t>Journal publications on Antarctic science were analysed for a period of 25 years (1980-2004) through a set of scientometrics and network analysis techniques. The study is based on 10 942 records (research articles, review articles, letters, etc.) with the word fragment antarc* in the title published in 961 international, peer-reviewed journals and retrieved from Thomson Scientific's Science Citation index database. During the period under investigation, productivity increased threefold and there was a 13-fold increase in journal publications co-written by authors from different countries. The five nations with the highest output were the USA (with 26.7% of the total output), the UK (13.8%), Australia (9.7%), Germany (8.8%) and Italy (6.0%). The top five institutions in terms of journal publications were the British Antarctic Survey (972 publications), the Alfred Wegener Institute of Polar and Marine Research, Germany (475), the Australian Antarctic Division (312), the University of Tasmania, Australia (305), and the National Aeronautics and Space Administration, USA (293).</t>
  </si>
  <si>
    <t>Minist Earth Sci, New Delhi 110003, India</t>
  </si>
  <si>
    <t>Ministry of Earth Sciences (MoES) - India</t>
  </si>
  <si>
    <t>Dastidar, PG (corresponding author), Minist Earth Sci, Block No 9 &amp;12,CGO Complex,Lodi Rd, New Delhi 110003, India.</t>
  </si>
  <si>
    <t>prabirgd11@rediffmail.com</t>
  </si>
  <si>
    <t>Dastidar, Prabir G/A-4803-2014</t>
  </si>
  <si>
    <t>Dastidar, Prabir G/0000-0001-5871-6261</t>
  </si>
  <si>
    <t>10.1111/j.1751-8369.2007.00017.x</t>
  </si>
  <si>
    <t>WOS:000249396100013</t>
  </si>
  <si>
    <t>Osyczka, P; Dutkiewicz, EM; Olech, M</t>
  </si>
  <si>
    <t>Osyczka, Piotr; Dutkiewicz, Erazm M.; Olech, Maria</t>
  </si>
  <si>
    <t>Trace elements concentrations in selected moss and lichen species collected within Antarctic research stations</t>
  </si>
  <si>
    <t>POLISH JOURNAL OF ECOLOGY</t>
  </si>
  <si>
    <t>Antarctica; King George Island; trace elements; environmental pollution; biomonitoring; mosses; lichens; PIXE method</t>
  </si>
  <si>
    <t>METALS; DEPOSITION; SHETLAND; MERCURY; PIXE</t>
  </si>
  <si>
    <t>The Antarctic region has been considered as a region the least exposed to the pollution. However, increase of human activities at the research stations, transportation and tourism threaten the natural environment of this region. The paper reports the contents of selected trace elements in lichen and moss samples collected in the interior parts of several Antarctic research stations located on King George Island (South Shetlands, maritime Antarctica). Lichens and mosses are particularly sensitive to anthropogenic environmental changes, especially to air pollution. Moss Sanionia uncinata and lichens - Usnea antarctica and Usnea aurantiaco-atra were chosen as bioindicators. The amount of ten trace metals (vanadium, chromium, manganese, copper, zinc, lead, rubidium, strontium, yttrium, and cadmium) and bromine was measured in thalli using the analytical PIXE (Particle Induced X-ray Emission) method. The results obtained for the samples originating from research stations were compared with the data obtained for the samples of same species collected in the area distant from any human activities. For the samples from Antarctic stations the average contents of trace elements (in mu g g(-1) d.w., mean +/- SD) were as follows: S. uncinata - V 27 +/- 22, Cr 7 +/- 2, Mn 256 +/- 95, Cu 11 +/- 3, Zn 33 +/- 4, Pb 9 +/- 6, Br 40 +/- 22, Rb 14 +/- 11, Sr 69 +/- 25; U. antarctica - V 28 +/- 31,Cr 3 +/- 1, Mn 53 +/- 18, Cu 10 +/- 4, Zn 30 +/- 1, Pb 2 +/- 1, Br 40 +/- 16, Sr 18 +/- 4, Y 4 +/- 2; U. aurantiaco-atra - V 7 +/- 6, Cr 6 +/- 3, Mn 5 +/- 9 +/- 35, Cu 66 +/- 33, Zn 27 +/- 5, Pb 5 +/- 1, Br 30 +/- 15, Sr 32 +/- 20, Y 3 +/- 3. The average concentrations of Cr, Mn and Pb in all samples from research stations demonstrated significant differences in relation to the reference material. The maximal concentrations of measured elements obtained in the samples from potentially polluted areas were as a rule much higher (similar to 120-3800%) in comparison with the concentrations in the control group. This observation is especially worrying. These results point out that the human influence on the Antarctic environment may be negative and indicate the necessity for pollution monitoring programmes in the region. This research is a part of biomonitoring recommended by SCAR (Scientific Committee on Antarctic Research).</t>
  </si>
  <si>
    <t>Jagiellonian Univ, Inst Bot, PL-31501 Krakow, Poland; Polish Acad Sci, Henryk Niewodniczanski Inst Nucl Phys, PL-31342 Krakow, Poland; Polish Acad Sci, Dept Antarctic Biol, PL-02141 Warsaw, Poland</t>
  </si>
  <si>
    <t>Jagiellonian University; Polish Academy of Sciences; Institute of Nuclear Physics - Polish Academy of Sciences; Polish Academy of Sciences</t>
  </si>
  <si>
    <t>Osyczka, P (corresponding author), Jagiellonian Univ, Inst Bot, Kopernika 27, PL-31501 Krakow, Poland.</t>
  </si>
  <si>
    <t>osyczka@ib.uj.edu.pl; olech@ib.uj.edu.pl</t>
  </si>
  <si>
    <t>Dutkiewicz, Erazm Maria/Y-3658-2018; Dutkiewicz, Erazm Maria/AAI-7658-2021</t>
  </si>
  <si>
    <t>Dutkiewicz, Erazm Maria/0000-0002-2306-132X; Dutkiewicz, Erazm Maria/0000-0002-2306-132X; Osyczka, Piotr/0000-0003-4999-4897</t>
  </si>
  <si>
    <t>POLISH ACAD SCIENCES INST ECOLOGY</t>
  </si>
  <si>
    <t>LOMIANKI</t>
  </si>
  <si>
    <t>DZIEKANOW LESNY NEAR WARSAW, 05-092 LOMIANKI, POLAND</t>
  </si>
  <si>
    <t>1505-2249</t>
  </si>
  <si>
    <t>POL J ECOL</t>
  </si>
  <si>
    <t>Pol. J. Ecol.</t>
  </si>
  <si>
    <t>Ecology</t>
  </si>
  <si>
    <t>147BG</t>
  </si>
  <si>
    <t>WOS:000244977800004</t>
  </si>
  <si>
    <t>Nedzarek, A; Rakusa-Suszczewski, S</t>
  </si>
  <si>
    <t>Nedzarek, Arkadiusz; Rakusa-Suszczewski, Stanislaw</t>
  </si>
  <si>
    <t>Nutrients and conductivity in precipitation in the coast of King George Island (Antarctica) in relation to wind speed and penguin colony distance</t>
  </si>
  <si>
    <t>antarctica; atmospheric precipitation; conductivity; nitrogen; phosphorus</t>
  </si>
  <si>
    <t>JAMES-ROSS-ISLAND; AEROSOL COMPOSITION; ORNITHOGENIC SOILS; SNOW CHEMISTRY; ROOKERIES; CATIONS; STATION; RECORDS</t>
  </si>
  <si>
    <t>The present paper reports on the year-long study of atmospheric precipitation (rain and snow) composition, including nitrogen, phosphorus and mineral matter as conductivity, in ice-free area of western coast of Admiralty Bay (King George Island). The effects of the local Adelie penguin colony on nitrogen and phosphorus concentrations in atmospheric precipitation, as well as the role of wind on nitrogen and phosphorus enrichment of ice-free areas uncovered by a progressing deglaciation of the Ecology Glacier (ASPA 128) were examined. The effect of marine influence on the mineral matter level (as conductivity) in atmospheric precipitation was examined too. The determination of conductivity, nitrogen and phosphorus were assayed according to standard methods. Conductivity, nitrogen and phosphorus concentrations in atmospheric precipitation differed depending on sampling sites location, precipitation type (rain or snow), season (summer or winter), and also distance from a penguin rookery. The mean conductivity of rain and snow amounted to 189 mu S cm(-1) and was higher in rain (up to 290 mu S cm(-1)) than in snow samples (87 mu S cm(-1)). Mean total nitrogen and total phosphorus concentrations in precipitation amounted to 0.208 mg N dm(-3) and 0.028 mg P dm(-3), respectively. A higher conductivity was recorded in the precipitation transported by NNW winds (200 mu S cm(-1)), and lower in the precipitation transported by SSE winds (80 mu S cm(-1)). The seasonal variability of conductivity was characterized by a higher values during summer (320 mu S cm(-1)) and lower - during winter (90 mu S cm(-1)). The most nutrientrich samples were those collected in the centre of the penguin rookery, average values of TN and TP concentrations were 0.450 mg N dm(-3) and 0.090 mg P dm(-3), respectively. At the other sites concentrations of TN and TP were lower. Seasonal variabilty of nitrogen and phosphorus concentrations were usually characterized by minimal concentrations during winter and maximal - during spring or summer. The concentrations of nitrogen and phosphorus were characterized by a statistically significant negative relation along the distance from the penguin rookery and along the altitude of sampling sites. The influence of the penguin rookery on the higher concentrations of biogenic compounds caused the high concentrations of ammonium nitrogen (averaging about 0.250 mg N dm(-3)) during summer at all sampling sites, even at those, located farthest away (about 2200 m) from the penguin colony. The annual nitrogen and phosphorus loads deposited by atmospheric precipitation onto the ice-free area were estimated at about 0.752 kg N ha(-1) and 0.061 kg P ha(-1), respectively.</t>
  </si>
  <si>
    <t>[Nedzarek, Arkadiusz] Agr Univ Szczecin, Dept Hydrochem &amp; Water Protect, PL-71550 Szczecin, Poland; [Nedzarek, Arkadiusz; Rakusa-Suszczewski, Stanislaw] Polish Acad Sci, Dept Antarctic Biol, PL-02141 Warsaw, Poland</t>
  </si>
  <si>
    <t>West Pomeranian University of Technology; Polish Academy of Sciences</t>
  </si>
  <si>
    <t>Nedzarek, A (corresponding author), Agr Univ Szczecin, Dept Hydrochem &amp; Water Protect, Kazimierza Krolewicza 4H, PL-71550 Szczecin, Poland.</t>
  </si>
  <si>
    <t>arek@fish.ar.szczecin.pl</t>
  </si>
  <si>
    <t>Nędzarek, Arkadiusz/F-3959-2016</t>
  </si>
  <si>
    <t>Nędzarek, Arkadiusz/0000-0002-6094-3647</t>
  </si>
  <si>
    <t>245SY</t>
  </si>
  <si>
    <t>WOS:000251957300007</t>
  </si>
  <si>
    <t>Barber, DG; Massom, RA</t>
  </si>
  <si>
    <t>Smith, WO; Barber, DG</t>
  </si>
  <si>
    <t>Barber, D. G.; Massom, R. A.</t>
  </si>
  <si>
    <t>The Role of Sea Ice in Arctic and Antarctic Polynyas</t>
  </si>
  <si>
    <t>POLYNYAS: WINDOWS TO THE WORLD</t>
  </si>
  <si>
    <t>Elsevier Oceanography Series</t>
  </si>
  <si>
    <t>TERRA-NOVA BAY; MERTZ GLACIER POLYNYA; BOTTOM WATER FORMATION; NORTHERN BAFFIN-BAY; COASTAL POLYNYAS; ROSS SEA; SOUTHERN-OCEAN; COSMONAUT SEA; INTERANNUAL VARIABILITY; EAST ANTARCTICA</t>
  </si>
  <si>
    <t>Polynyas are persistent and recurrent regions of open water and/or thin ice or reduced ice concentration, tens to tens of thousands of square kilometers in areal extent, that occur within the sea ice zones of both hemispheres at locations where a more consolidated and thicker ice cover would be climatologically expected. Rather than simply constituting recurrent windows in the sea ice, polynyas are profoundly affected by, and intimately linked to, local and even regional ice conditions (i.e., the icescape). They respond sensitively to thermodynamic and dynamic forcing by the ocean and atmosphere and entail ecologically important oases that enable birds and mammals to overwinter at high latitudes and encourage enhanced primary production in the spring. In this review, we introduce the concept of polynyas from the perspective of the sea ice conditions/processes that define them. We discuss the unique characteristics of polynyas in both polar regions, and assess their possible response/contribution to climate variability and change. An inventory of Northern Hemisphere polynyas is presented, based primarily of satellite data analysis but also on information from the literature and aboriginal peoples. Summary statistics on polynya opening and closing dates are also provided, along with information on the availability of light relative to the seasonal cycles of sea ice. In the Southern Hemisphere, we present an update of an inventory of Antarctic polynyas and discuss how coastal, glacial and deep-ocean processes affect their and distribution. Two important polynyas are examined in more detail, i.e., the North Water (NOW) polynya in the north and the Mertz Glacier polynya in the south. These case studies focus on details of the different physical processes driving their creation, maintenance and dissolution. Each of these polynyas has been the focus of dedicated in situ research programmes in recent years.</t>
  </si>
  <si>
    <t>[Barber, D. G.] Univ Manitoba, Clayton H Riddell Fac Environm Earth &amp; Resources, Canada Res Chair Arctic Syst Sci, Ctr Earth Observat Sci, Winnipeg, MB R3T 2N2, Canada; [Massom, R. A.] Univ Tasmania, Australian Govt, Australian Antarctic Div, Hobart, Tas 7001, Australia; [Massom, R. A.] Univ Tasmania, Antarctic Climate &amp; Ecosyst Cooperat Res Ctr, Hobart, Tas 7001, Australia</t>
  </si>
  <si>
    <t>University of Manitoba; University of Tasmania; Australian Antarctic Division; University of Tasmania; Antarctic Climate &amp; Ecosystems Cooperative Research Centre (ACE CRC)</t>
  </si>
  <si>
    <t>Barber, DG (corresponding author), Univ Manitoba, Clayton H Riddell Fac Environm Earth &amp; Resources, Canada Res Chair Arctic Syst Sci, Ctr Earth Observat Sci, 476 Wallace Bldg,Ft Gary Campus, Winnipeg, MB R3T 2N2, Canada.</t>
  </si>
  <si>
    <t>Barber, David/0000-0001-9466-3291; Massom, Robert/0000-0003-1533-5084</t>
  </si>
  <si>
    <t>0422-9894</t>
  </si>
  <si>
    <t>978-0-08-052293-7; 978-0-444-52952-7</t>
  </si>
  <si>
    <t>ELSEV OCEANOGR SERIE</t>
  </si>
  <si>
    <t>Elsevier Oceanogr. Ser.</t>
  </si>
  <si>
    <t>10.1016/S0422-9894(06)74001-6</t>
  </si>
  <si>
    <t>BCS51</t>
  </si>
  <si>
    <t>WOS:000311283600003</t>
  </si>
  <si>
    <t>Williams, WJ; Carmack, EC; Ingram, RG</t>
  </si>
  <si>
    <t>Williams, W. J.; Carmack, E. C.; Ingram, R. G.</t>
  </si>
  <si>
    <t>Physical Oceanography of Polynyas</t>
  </si>
  <si>
    <t>DENSE WATER FORMATION; SATELLITE PASSIVE MICROWAVE; TIME-DEPENDENT MODEL; SEA-ICE; NORTH WATER; BOTTOM WATER; OKHOTSK SEA; SHELF WATER; CANADIAN ARCHIPELAGO; OFFSHORE TRANSPORT</t>
  </si>
  <si>
    <t>Physical processes related to polynya formation are reviewed and selected examples from both the Arctic and the Antarctic seas are given. Polynyas are categorized by dividing them into mechanically and convectively forced systems, recognizing that most polynyas are formed by a confluence of two or more physical factors, and that positive feedback processes also impact formation. Polynyas strongly impact the regional oceanography. Those that are initiated by mechanical forcing from the wind, for example, may produce large quantities of ice and brine. Dense water formed in this manner can then migrate via Ekman layers, gravity currents, and eddying motions across the shelf, and drain into the deep ocean. Under scenarios of global warming, a climatologically retreating ice edge will alter the size and distribution of polynyas. In the Arctic and on the Antarctic Peninsula, the general pattern of polynyas relative to the ice edge is likely to be similar.</t>
  </si>
  <si>
    <t>[Williams, W. J.; Ingram, R. G.] Univ British Columbia, Dept Earth &amp; Ocean Sci, Vancouver, BC V6T 1Z4, Canada; [Carmack, E. C.] Fisheries &amp; Oceans Canada Inst Ocean Sci, Sidney, BC V8L 4B2, Canada</t>
  </si>
  <si>
    <t>University of British Columbia; Fisheries &amp; Oceans Canada</t>
  </si>
  <si>
    <t>Williams, WJ (corresponding author), Univ British Columbia, Dept Earth &amp; Ocean Sci, Vancouver, BC V6T 1Z4, Canada.</t>
  </si>
  <si>
    <t>10.1016/S0422-9894(06)74002-8</t>
  </si>
  <si>
    <t>WOS:000311283600004</t>
  </si>
  <si>
    <t>Hoppema, M; Anderson, LG</t>
  </si>
  <si>
    <t>Hoppema, M.; Anderson, L. G.</t>
  </si>
  <si>
    <t>Biogeochemistry of Polynyas and Their Role in Sequestration of Anthropogenic Constituents</t>
  </si>
  <si>
    <t>NORTHEAST WATER POLYNYA; NET COMMUNITY PRODUCTION; MERTZ GLACIER REGION; SOUTHERN WEDDELL SEA; INDIAN-OCEAN SECTOR; BOTTOM WATER; ROSS SEA; ARCTIC-OCEAN; DEEP-WATER; INTERANNUAL VARIABILITY</t>
  </si>
  <si>
    <t>Polynyas are common occurrences all around the Arctic and Antarctic. Coastal polynyas are generally highly productive, which can lead to substantial CO2 drawdown. Consequently, they are important sink regions for atmospheric CO2. Depending on the surface area, the timing, duration and other factors, large differences exist as to the importance of polynyas in a biogeochemical sense. In the Arctic, the North Water Polynya seems to be the most important one, while in the Antarctic the most important is the Ross Sea Polynya. Polynyas in the Arctic have been better investigated and therefore the important polynyas are described with some confidence as to accuracy and completeness. For the Antarctic, this only holds for the Ross Sea Polynya. For many other Antarctic polynyas, only incomplete information is available. This is true even for the large, well known Weddell Polynya of the 1970s, which represents one of the few open-ocean polynyas. Here its biogeochemical role is semi-quantitatively assessed by combining the physical data from the 1970s with the known distributions of biogeochemical properties from recent years. It is deduced that the Weddell Polynya was a significant one-time sink for anthropogenic CO2 and CFCs, with ensuing deep-sea sequestration. Notably, some coastal polynyas are instrumental in transferring anthropogenic CO2 from the ice-free shelves to the abyssal oceans.</t>
  </si>
  <si>
    <t>[Hoppema, M.] Alfred Wegener Inst Polar &amp; Marine Res, D-27515 Bremerhaven, Germany; [Anderson, L. G.] Gothenburg Univ, Dept Chem, S-42196 Gothenburg, Sweden</t>
  </si>
  <si>
    <t>Helmholtz Association; Alfred Wegener Institute, Helmholtz Centre for Polar &amp; Marine Research; University of Gothenburg</t>
  </si>
  <si>
    <t>Hoppema, M (corresponding author), Alfred Wegener Inst Polar &amp; Marine Res, D-27515 Bremerhaven, Germany.</t>
  </si>
  <si>
    <t>Anderson, Leslie/JXM-6568-2024; Hoppema, Mario/I-6286-2013</t>
  </si>
  <si>
    <t>Anderson, Leslie/0000-0003-3668-8540; Hoppema, Mario/0000-0002-2326-619X</t>
  </si>
  <si>
    <t>10.1016/S0422-9894(06)74006-5</t>
  </si>
  <si>
    <t>WOS:000311283600008</t>
  </si>
  <si>
    <t>Arrigo, KR</t>
  </si>
  <si>
    <t>Arrigo, K. R.</t>
  </si>
  <si>
    <t>Physical Control of Primary Productivity in Arctic and Antarctic Polynyas</t>
  </si>
  <si>
    <t>NORTHEAST WATER POLYNYA; PHYTOPLANKTON TAXONOMIC VARIABILITY; MERTZ GLACIER REGION; SEA-ICE; ROSS SEA; SOUTHERN-OCEAN; BAFFIN-BAY; SPATIAL PATTERNS; CLIMATE-CHANGE; CHLOROPHYLL-A</t>
  </si>
  <si>
    <t>The unique physical characteristics of Arctic and Antarctic polynyas often make them highly productive marine environments. Here I focus on four major polynyas (the NEW and NOW polynyas in the Arctic and the Ross Sea and Mertz Glacier polynyas in the Antarctic) and compare and contrast the major physicochemical features that control rates of phytoplankton growth and primary production in each. Included in this analysis are the effects of temperature, solar radiation (including ultraviolet), and nutrient delivery. Also discussed is the positive feedback that exists between cloud cover and polynya size as well as the importance of the timing of polynya formation on ecosystem structure.</t>
  </si>
  <si>
    <t>Stanford Univ, Dept Geophys, Stanford, CA 94305 USA</t>
  </si>
  <si>
    <t>Arrigo, KR (corresponding author), Stanford Univ, Dept Geophys, Stanford, CA 94305 USA.</t>
  </si>
  <si>
    <t>10.1016/S0422-9894(06)74007-7</t>
  </si>
  <si>
    <t>WOS:000311283600009</t>
  </si>
  <si>
    <t>Tremblay, JE; Smith, WO</t>
  </si>
  <si>
    <t>Tremblay, J. -E.; Smith, W. O., Jr.</t>
  </si>
  <si>
    <t>Primary Production and Nutrient Dynamics in Polynyas</t>
  </si>
  <si>
    <t>NORTHEAST WATER POLYNYA; ARCTIC SEA-ICE; PHYTOPLANKTON ASSEMBLAGE COMPOSITION; LAWRENCE-ISLAND POLYNYA; ANTARCTIC SHELF WATERS; MERTZ GLACIER REGION; WESTERN ROSS SEA; TERRA-NOVA BAY; SOUTHERN-OCEAN; BAFFIN-BAY</t>
  </si>
  <si>
    <t>Phytoplankton assemblages in polynyas are strongly impacted by the unique environment of those systems, and their growth and accumulation is always greater within a polynya than under heavy ice. The extent of this enhancement is dependent on the physical conditions of the polynya-the duration of the polynya's existence, the distribution of ice and snow, and the physical circulation within it. We review the polynyas in both Arctic and Antarctic waters that have been intensively studied and compare them with respect to biomass, daily productivity, chemical and physical constraints, annual productivity, export, and effects on food webs and the local biogeochemical cycles. We conclude that the most productive polynyas (the North Water polynya and the Ross Sea polynya) have remarkably similar short-term productivity, and the annual productivity and seasonal timing of both are also similar. However, the two have strong dissimilarities in modes of control and export. The ecological consequences of enhanced production within a polynya are also investigated, and appear to vary among polynyas. We suggest that the differences among polynyas within polar systems reflect the differences in large-scale physical forcing that exist across the Arctic and Antarctic, and that generalizations among polynyas need to encompass this variability.</t>
  </si>
  <si>
    <t>[Tremblay, J. -E.] Univ Laval, Dept Biol, Quebec City, PQ G1K 7P4, Canada; [Smith, W. O., Jr.] Virginia Inst Marine Sci, Coll William &amp; Mary, Gloucester Point, VA 23062 USA</t>
  </si>
  <si>
    <t>Laval University; William &amp; Mary; Virginia Institute of Marine Science</t>
  </si>
  <si>
    <t>Tremblay, JE (corresponding author), Univ Laval, Dept Biol, Quebec City, PQ G1K 7P4, Canada.</t>
  </si>
  <si>
    <t>10.1016/S0422-9894(06)74008-9</t>
  </si>
  <si>
    <t>WOS:000311283600010</t>
  </si>
  <si>
    <t>Deibel, D; Daly, KL</t>
  </si>
  <si>
    <t>Deibel, D.; Daly, K. L.</t>
  </si>
  <si>
    <t>Zooplankton Processes in Arctic and Antarctic Polynyas</t>
  </si>
  <si>
    <t>KRILL EUPHAUSIA-SUPERBA; NORTHEAST WATER POLYNYA; SOUTHERN WEDDELL SEA; MARGINAL ICE-ZONE; CALANUS-PROPINQUUS COPEPODA; WESTERN BRANSFIELD STRAIT; LIFE-CYCLE STRATEGIES; CALANOIDES-ACUTUS; ROSS-SEA; LIPID-COMPOSITION</t>
  </si>
  <si>
    <t>There are various similarities and differences in zooplankton processes between Arctic Ocean (AO) and Southern Ocean (SO) polynyas, many of which are due to fundamental differences in their respective ecosystem properties. The composition of zooplankton communities in AO and SO polynyas is largely dependent upon advection from local, ice-covered waters, with little evidence of an endemic, polynya zooplankton fauna. While copepods are common in both systems, a major difference is the predominance of euphausiids in the SO and appendicularian tunicates in the AO. The same genera of small copepods occur in both the AO and SO and appear to derive little benefit from the higher primary productivity and extended growing season of polynyas. In contrast, larger calanoid copepods appear to derive recruitment and life cycle benefits from the diatom production and heat in polynyas, with higher egg production rates and shorter generation times. Most large calanoid copepods overwinter in diapause in AO polynyas, while some proportion of SO populations remain in surface waters. Grazing impact by copepods in AO polynyas accounts for about 20% of primary productivity d(-1), with appendicularian tunicates accounting for another 20% d(-1). The few estimates of community impact in the SO are variable. In both regions, individual zooplankton feeding rates are high and equivalent to boreal ocean values; thus, grazing impact depends primarily on the biomass of zooplankton and phytoplankton. SO zooplankton contribute to the vertical particulate flux through faecal pellets from euphausiids, copepods and pteropods, while the contribution in AO polynyas is primarily through appendicularian tunicate faecal pellets and shed houses and copepod faeces. Maximum pellet flux in both the AO and SO occurs at times of high biomass of diatoms. The primary benefits of polar polynyas to zooplankton processes results from the greater production of diatoms and extended productive period, with few differences in individual daily rations or food web transfer efficiencies relative to temperate and boreal systems.</t>
  </si>
  <si>
    <t>[Deibel, D.] Mem Univ Newfoundland, Ctr Ocean Sci, St John, NF A1C 5S7, Canada; [Deibel, D.] Mem Univ Newfoundland, Dept Biol, St John, NF A1C 5S7, Canada; [Daly, K. L.] Univ S Florida, Coll Marine Sci, St Petersburg, FL 33701 USA</t>
  </si>
  <si>
    <t>Memorial University Newfoundland; Memorial University Newfoundland; State University System of Florida; University of South Florida</t>
  </si>
  <si>
    <t>Deibel, D (corresponding author), Mem Univ Newfoundland, Ctr Ocean Sci, St John, NF A1C 5S7, Canada.</t>
  </si>
  <si>
    <t>10.1016/S0422-9894(06)74009-0</t>
  </si>
  <si>
    <t>WOS:000311283600011</t>
  </si>
  <si>
    <t>Ducklow, HW; Yager, PL</t>
  </si>
  <si>
    <t>Ducklow, H. W.; Yager, P. L.</t>
  </si>
  <si>
    <t>Pelagic Bacterial Processes in Polynyas</t>
  </si>
  <si>
    <t>NORTHEAST WATER POLYNYA; PARTICULATE ORGANIC-MATTER; ARCTIC SEA-ICE; ROSS SEA; COMMUNITY STRUCTURE; MICROBIAL ACTIVITY; PRIMARY PRODUCTIVITY; PHAEOCYSTIS-ANTARCTICA; PHYTOPLANKTON BIOMASS; ATMOSPHERIC CO2</t>
  </si>
  <si>
    <t>Polynyas are considered model ecosystems for understanding high-latitude carbon cycling, especially with regards to climate-sensitivity of the biological pump. Explanations for highly efficient carbon export from polynyas and other marginal ice zones often focus on the balance of autotrophy and heterotrophy in these perennially cold ecosystems. The remineralization of algal production is controlled, at least in part, by the activities of pelagic heterotrophic bacteria. Here, we review these activities in both Arctic and Antarctic polynya ecosystems and include a discussion of commonly used methods. Recent research findings from the Northeast Water (NEW), North Water (NOW), and Ross Sea Polynya (RSP) programs are summarized and compared. Overall the pelagic bacteria of these ecosystems respond quickly to spring and summertime algal blooms, similar to their temperate counterparts. We find little evidence for growth rate limitation by low temperature, at least during the phytoplankton growing season. Despite sometimes significant rates of bacterivory and viral lysis, bacterial growth is fast enough for stocks to accumulate to levels similar to those observed in temperate oceans. Despite apparent differences in DOM cycling and availability, Arctic and Antarctic polynya bacteria are more similar than dissimilar in their seasonal activities. High-latitude food web structure, leading bacteria to a focus on hydrolysis and solubilization of particulate matter may partly explain this finding. We speculate about the impacts of global warming on these ecosystems and envision a scenario in which hemispheric differences in polynya microbial ecology and biogeochemical function will be amplified.</t>
  </si>
  <si>
    <t>[Ducklow, H. W.] Virginia Inst Marine Sci, Coll William &amp; Mary, Gloucester Point, VA 23062 USA; [Yager, P. L.] Univ Georgia, Dept Marine Sci, Athens, GA 30602 USA</t>
  </si>
  <si>
    <t>William &amp; Mary; Virginia Institute of Marine Science; University System of Georgia; University of Georgia</t>
  </si>
  <si>
    <t>Ducklow, HW (corresponding author), Virginia Inst Marine Sci, Coll William &amp; Mary, Gloucester Point, VA 23062 USA.</t>
  </si>
  <si>
    <t>Yager, Patricia/K-8020-2014</t>
  </si>
  <si>
    <t>Yager, Patricia/0000-0002-8462-6427</t>
  </si>
  <si>
    <t>10.1016/S0422-9894(06)74010-7</t>
  </si>
  <si>
    <t>WOS:000311283600012</t>
  </si>
  <si>
    <t>Grebmeier, JM; Barry, JP</t>
  </si>
  <si>
    <t>Grebmeier, J. M.; Barry, J. P.</t>
  </si>
  <si>
    <t>Benthic Processes in Polynyas</t>
  </si>
  <si>
    <t>ST-LAWRENCE-ISLAND; TERRA-NOVA BAY; NORTHERN BERING-SEA; SOUTHERN ROSS SEA; WATER COLUMN; ORGANIC-MATTER; CHUKCHI SEAS; MCMURDO SOUND; LATE WINTER; PACK ICE</t>
  </si>
  <si>
    <t>Polynyas are areas of open water in ice-covered seas, and are important sites for enhanced water column and benthic production in both the Arctic and Antarctic. Research on polynyas during the last twenty years has allowed multi-disciplinary evaluation of processes in various polynyas, including the Northeast Water (NEW) polynya, North Water (NOW) polynya, St. Lawrence Island polynya (SLIP), and the Bathurst (BATH) polynya in the Arctic, and the Ross Sea polynya (RSP), McMurdo Sound polynya (MSP), and Terra Nova Bay (TNB) polynya in the Antarctic. Several other coastal polynyas around Antarctica have received limited study. Studies of benthic patterns and processes in polynyas indicate that faunal biomass, productivity, and carbon cycling are dependent on depth, season, ice cover, carbon supply, and hydrographic forcing. Polynyas generally have high primary productivity, which typically supports rich benthic communities through enhanced vertical carbon flux. Short and long-term indicators can provide a foot print of water column processes within polynyas, such as sediment community oxygen consumption and benthic biomass. Although zooplankton production directly influences the retentive nature of carbon in the euphotic zone, depth is the critical factor for the impact of net carbon export to the underlying benthos. We use a simple modeling exercise of two polynya case studies, the SLIP in the Arctic and RSP in the Antarctic, to evaluate export efficiency and benthic carbon cycling. Depth ultimately influences whether a polynya is a retentive versus export ecosystem, impacting the underlying benthic populations and associated carbon cycling. Defining polynyas and marginal ice zones as retentive versus export systems is potentially a powerful tool for understanding polar shelf processes, particularly when primary production is not measured simultaneously with benthic parameters.</t>
  </si>
  <si>
    <t>[Grebmeier, J. M.] Univ Tennessee, Dept Ecol &amp; Evolutionary Biol, Marine Biogeochem &amp; Ecol Grp, Knoxville, TN 37932 USA; [Barry, J. P.] Monterey Bay Aquarium Res Inst, Moss Landing, CA 95039 USA</t>
  </si>
  <si>
    <t>University of Tennessee System; University of Tennessee Knoxville; Monterey Bay Aquarium Research Institute</t>
  </si>
  <si>
    <t>Grebmeier, JM (corresponding author), Univ Tennessee, Dept Ecol &amp; Evolutionary Biol, Marine Biogeochem &amp; Ecol Grp, Knoxville, TN 37932 USA.</t>
  </si>
  <si>
    <t>Grebmeier, Jacqueline/L-9805-2013</t>
  </si>
  <si>
    <t>Grebmeier, Jacqueline/0000-0001-7624-3568</t>
  </si>
  <si>
    <t>10.1016/S0422-9894(06)74011-9</t>
  </si>
  <si>
    <t>WOS:000311283600013</t>
  </si>
  <si>
    <t>Karnovsky, N; Ainley, DG; Lee, P</t>
  </si>
  <si>
    <t>Karnovsky, N.; Ainley, D. G.; Lee, P.</t>
  </si>
  <si>
    <t>The Impact and Importance of Production in Polynyas to Top-Trophic Predators: Three Case Histories</t>
  </si>
  <si>
    <t>NORTHEAST WATER POLYNYA; ANTARCTIC PROCELLARIIFORM SEABIRDS; PHYTOPLANKTON COMMUNITY STRUCTURE; EASTERN LANCASTER SOUND; EUPHAUSIA-SUPERBA DANA; SEALS PHOCA-HISPIDA; WESTERN BAFFIN-BAY; APRIL-JULY 1998; ROSS ICE SHELF; AUKS ALLE-ALLE</t>
  </si>
  <si>
    <t>Polynyas in both the Arctic and Antarctic are known to be sites of substantial accumulations of toptrophic predators. Three polynyas (the Ross Sea polynya, the North Water polynya, and the Northeast Water polynya) are described in detail with regard to the distribution and activities of birds and marine mammals. The comparison shows that a substantial variation occurs both spatially and temporally among polynyas, but confirms that these regions are critical and active sites of material and energy transfer in polar systems.</t>
  </si>
  <si>
    <t>[Karnovsky, N.] Pomona Coll, Dept Biol, Claremont, CA 91711 USA; [Ainley, D. G.] HT Harvey &amp; Associates, San Jose, CA 95118 USA; [Lee, P.] Coll Charleston, Hollings Marine Lab, Charleston, SC 29412 USA</t>
  </si>
  <si>
    <t>Claremont Colleges; Pomona College; College of Charleston</t>
  </si>
  <si>
    <t>Karnovsky, N (corresponding author), Pomona Coll, Dept Biol, Claremont, CA 91711 USA.</t>
  </si>
  <si>
    <t>10.1016/S0422-9894(06)74012-0</t>
  </si>
  <si>
    <t>WOS:000311283600014</t>
  </si>
  <si>
    <t>Smith, W. O., Jr.; Barber, D. G.</t>
  </si>
  <si>
    <t>Polynyas and Climate Change: A View to the Future</t>
  </si>
  <si>
    <t>ARCTIC SEA-ICE; SOUTHERN-OCEAN; PHYTOPLANKTON DYNAMICS; PACIFIC SECTOR; NORTH WATER; ROSS SEA; VARIABILITY; CIRCULATION; ATMOSPHERE; LINKS</t>
  </si>
  <si>
    <t>There is no longer doubt that the climate of polar systems is changing, but the changes are far from uniform in time and space. Similarly, the changes of climate give rise to direct and indirect alterations of processes within polynyas. Arctic systems are undergoing the largest, most rapid change, and it is expected that polynyas within the Arctic will largely respond by a decrease in the duration of existence each season. This in turn will increase the maritime nature of Arctic polynyas, and simultaneously reduce their polar features. Antarctic polynyas might be expected to have a larger gradient of responses because the direction and magnitude of climate change is not uniform. It is suggested that changes in hemispheric characteristics of deep water will result in substantial changes in the duration of periods of polynya existence, as well as possibly major alterations of the biogeochemical cycles and food webs of the polynyas. Arctic polynyas will likely respond to polar climate change based on the type of polynya they represent. The flaw lead polynya system will likely become larger and exist for a longer duration over the annual cycle; ice-edge polynyas have already begun to change (e.g., North East Water) and in the future we may see these types of polynyas become more like marginal ice zones than true polynyas. Polynyas, by nature of their largely ephemeral nature, are indeed indicator regions for large-scale change, and by monitoring changes within these sensitive areas, we suggest that polynyas can act as a model system for changes in polar marine environments.</t>
  </si>
  <si>
    <t>[Smith, W. O., Jr.] Virginia Inst Marine Sci, Coll William &amp; Mary, Gloucester Point, VA 23062 USA; [Barber, D. G.] Univ Manitoba, Ctr Earth Observat Sci, Winnipeg, MB R3T 2N2, Canada</t>
  </si>
  <si>
    <t>William &amp; Mary; Virginia Institute of Marine Science; University of Manitoba</t>
  </si>
  <si>
    <t>Smith, WO (corresponding author), Virginia Inst Marine Sci, Coll William &amp; Mary, Gloucester Point, VA 23062 USA.</t>
  </si>
  <si>
    <t>Barber, David/0000-0001-9466-3291</t>
  </si>
  <si>
    <t>10.1016/S0422-9894(06)74013-2</t>
  </si>
  <si>
    <t>WOS:000311283600015</t>
  </si>
  <si>
    <t>Ivanova, V; Kolarova, M; Aleksieva, K; Graefe, U; Schlegel, B</t>
  </si>
  <si>
    <t>Ivanova, Veneta; Kolarova, Mariana; Aleksieva, Krasja; Graefe, Udo; Schlegel, Brigitte</t>
  </si>
  <si>
    <t>Diphenylether and macrotriolides occurring in a fungal isolate from the antarctic lichen Neuropogon</t>
  </si>
  <si>
    <t>PREPARATIVE BIOCHEMISTRY &amp; BIOTECHNOLOGY</t>
  </si>
  <si>
    <t>Tritirachium sp.; HKI 0317; Neuropogon sp.; diphenylether; macrotriolides</t>
  </si>
  <si>
    <t>CELL ADHESION MOLECULE; MACROSPHELIDE; INHIBITOR</t>
  </si>
  <si>
    <t>The fungus, Tritirachium sp.HKI 0317, was isolated from the Antarctic lichen Neuropogon sp. Fermentation of this strain, extraction of the culture broth, and preparative separation of produced compounds furnished 4-carboxy-5,5'-dihydroxy-3,3'dimethyldiphenylether (1), macrosphelide A (2), and macrosphelide J (3). The structures were elucidated on the basis of MS and NMR measurements, and the previously published data for this compounds.</t>
  </si>
  <si>
    <t>Bulgarian Acad Sci, Stephan Angeloff Inst Microbiol, BU-1113 Sofia, Bulgaria; Hans Knoll Inst Nat Prod Res, Jena, Germany</t>
  </si>
  <si>
    <t>Bulgarian Academy of Sciences; Stephan Angeloff Institute of Microbiology, Bulgarian Academy of Sciences; Hans Knoll Institute (HKI)</t>
  </si>
  <si>
    <t>Ivanova, V (corresponding author), Bulgarian Acad Sci, Stephan Angeloff Inst Microbiol, Acad G Bonchev Str,Bl 26, BU-1113 Sofia, Bulgaria.</t>
  </si>
  <si>
    <t>venibiva@microbio.bas.bg</t>
  </si>
  <si>
    <t>1082-6068</t>
  </si>
  <si>
    <t>1532-2297</t>
  </si>
  <si>
    <t>PREP BIOCHEM BIOTECH</t>
  </si>
  <si>
    <t>Prep. Biochem. Biotechnol.</t>
  </si>
  <si>
    <t>JAN-MAR</t>
  </si>
  <si>
    <t>10.1080/10826060601039436</t>
  </si>
  <si>
    <t>Biochemical Research Methods; Biochemistry &amp; Molecular Biology; Biotechnology &amp; Applied Microbiology</t>
  </si>
  <si>
    <t>Biochemistry &amp; Molecular Biology; Biotechnology &amp; Applied Microbiology</t>
  </si>
  <si>
    <t>112WY</t>
  </si>
  <si>
    <t>WOS:000242559800004</t>
  </si>
  <si>
    <t>Ivanova, V; Kolarova, M; Aleksieva, K; Gräffe, U; Dahse, HM; Laatsch, H</t>
  </si>
  <si>
    <t>Ivanova, Veneta; Kolarova, Mariana; Aleksieva, Krasja; Graeffe, Udo; Dahse, Hans-Martin; Laatsch, Hartmut</t>
  </si>
  <si>
    <t>Microbiaeratin, a new natural indole alkaloid from a Microbispora aerata strain, isolated from Livingston Island, Antarctica</t>
  </si>
  <si>
    <t>Microbispora aerata; microbiaeratin; microbiaeratinin; bacillamide; sulphur-containing indole alkaloids</t>
  </si>
  <si>
    <t>IMMUNOSUPPRESSIVE CYCLIC-PEPTIDES; MYXOBACTERIA; ZELKOVAMYCIN; ARGYRINS</t>
  </si>
  <si>
    <t>A new sulphur-containing natural alkaloid named microbiaeratin (1a) was isolated, together with the known microbiaeratinin (2, bacillamide) from the culture filtrate of Microbispora aerata strain IMBAS-11A. The organism was isolated from penguin excrements collected on the Antarctic Livingston Island. The structure was elucidated by one- and two-dimensional NMR experiments and mass spectrometric investigations.</t>
  </si>
  <si>
    <t>Bulgarian Acad Sci, Stephan Angeloff Inst Microbiol, BU-1113 Sofia, Bulgaria; Hans Knoell Inst, Leibniz Inst Nat Prod Res &amp; Infect Biol, Jena, Germany; Univ Gottingen, Dept Organ &amp; Biomol Chem, D-3400 Gottingen, Germany</t>
  </si>
  <si>
    <t>Bulgarian Academy of Sciences; Stephan Angeloff Institute of Microbiology, Bulgarian Academy of Sciences; Hans Knoll Institute (HKI); University of Gottingen</t>
  </si>
  <si>
    <t>Ivanova, V (corresponding author), Bulgarian Acad Sci, Stephan Angeloff Inst Microbiol, Acad G Bonchev Str 26, BU-1113 Sofia, Bulgaria.</t>
  </si>
  <si>
    <t>Laatsch, Hartmut G/A-9579-2008</t>
  </si>
  <si>
    <t>10.1080/10826060701199122</t>
  </si>
  <si>
    <t>160ZK</t>
  </si>
  <si>
    <t>WOS:000245983900007</t>
  </si>
  <si>
    <t>Ivanova, V; Kolarova, M; Aleksieva, K; Dornberger, KJ; Haertl, A; Moellmann, U; Dahse, HM; Chipev, N</t>
  </si>
  <si>
    <t>Ivanova, Veneta; Kolarova, Mariana; Aleksieva, Krasja; Dornberger, Klaus-Juergen; Haertl, Albert; Moellmann, Ute; Dahse, Hans-Martin; Chipev, Nesho</t>
  </si>
  <si>
    <t>Sanionins:: Anti-inflammatory and antibacterial agents with weak cytotoxicity from the antarctic moss Sanionia georgico-uncinata</t>
  </si>
  <si>
    <t>Sanionia georgico-uncinata; Sanionins A and B; inhibitors of 3 alpha-hydroxysteroid dehydrogenase; weak cytotoxic activity; antibacterial activity</t>
  </si>
  <si>
    <t>Sanionins A ( 1) and B ( 2) were isolated from the moss Sanionia georgico-uncinata, collected on the Antarctic Livingston Island. The compounds 1 and 2 were purified by solvent extraction, silica gel column chromatography, and preparative HPLC, consecutively. The structures of the both compounds were elucidated by 1D and 2D NMR experiments and mass spectrometric investigations. These compounds showed activity against important Gram- positive pathogens, such as mycobacteria, multiresistant staphylococci, and vancomycin resistant enterococci. This activity is combined with antiinflammatoric activity and low cytotoxicity.</t>
  </si>
  <si>
    <t>Bulgarian Acad Sci, Stephan Angeloff Inst Microbiol, BU-1113 Sofia, Bulgaria; Leibniz Inst Nat Prod Res, Jena, Germany; Infect Biol Hans Knoell Inst, Jena, Germany; Bulgarian Acad Sci, Cent Lab Gen Ecol, Sofia, Bulgaria</t>
  </si>
  <si>
    <t>Bulgarian Academy of Sciences; Stephan Angeloff Institute of Microbiology, Bulgarian Academy of Sciences; Hans Knoll Institute (HKI); Bulgarian Academy of Sciences</t>
  </si>
  <si>
    <t>Ivanova, V (corresponding author), Bulgarian Acad Sci, Stephan Angeloff Inst Microbiol, 26 Acad Georgy Bonchev St, BU-1113 Sofia, Bulgaria.</t>
  </si>
  <si>
    <t>Chipev, Nesho/ABG-8857-2021</t>
  </si>
  <si>
    <t>10.1080/10826060701593241</t>
  </si>
  <si>
    <t>215AY</t>
  </si>
  <si>
    <t>WOS:000249781000004</t>
  </si>
  <si>
    <t>Aquino, M; Dodson, A; deFranceschi, G; Alfonsi, L; Romano, V; Monico, JFG; Marques, H; Mitchell, C</t>
  </si>
  <si>
    <t>Aquino, M.; Dodson, A.; deFranceschi, G.; Alfonsi, L.; Romano, V.; Monico, J. F. G.; Marques, H.; Mitchell, C.</t>
  </si>
  <si>
    <t>Towards forecasting and mitigating ionospheric scintillation effects on GNSS</t>
  </si>
  <si>
    <t>PROCEEDINGS ELMAR 2007</t>
  </si>
  <si>
    <t>49th International Symposium ELMAR</t>
  </si>
  <si>
    <t>SEP 12-14, 2007</t>
  </si>
  <si>
    <t>Zadar, CROATIA</t>
  </si>
  <si>
    <t>ionospheric scintillation; GNSS; GPS; Galileo; ionosphere; Total Electron Content (TEC)</t>
  </si>
  <si>
    <t>The effect of the ionosphere on the signals of Global Navigation Satellite Systems (GNSS), such as the Global Positionig System (GPS) and the proposed European Galileo, is dependent on the ionospheric electron density, given by its Total Electron Content (TEC). Ionospheric time-varying density irregularities may cause scintillations, which are fluctuations in phase and amplitude of the signals. Scintillations occur more often at equatorial and high latitudes. They can degrade navigation and positioning accuracy and may cause loss of signal tracking, disrupting safety-critical applications, such as marine navigation and civil aviation. This paper addresses the results of initial research carried out on two fronts that are relevant to GNSS users if they are to counter ionospheric scintillations, i.e. forecasting and mitigating their effects. On the forecasting front, the dynamics of scintillation occurrence were analysed during the severe ionospheric storm that took place on the evening of 30 October 2003, using data from a network of GPS Ionospheric Scintillation and TEC Monitor (GISTM) receivers set up in Northern Europe. Previous results [1] indicated that GPS scintillations in that region can originate from ionospheric plasma structures from the American sector. In this paper we describe experiments that enabled confirmation of those findings. On the mitigation front we used the variance of the output error of the GPS receiver DLL (Delay Locked Loop) to modify the least squares stochastic model applied by an ordinary receiver to compute position. This error was modelled according to [2], as a function of the S4 amplitude scintillation index measured by the GISTM receivers. An improvement of up to 21% in relative positioning accuracy was achieved with this technnique.</t>
  </si>
  <si>
    <t>[Aquino, M.; Dodson, A.] Univ Nottingham, Inst Engn Surveying &amp; Space Geodesy, Univ Pk, Nottingham NG7 2RD, England; [deFranceschi, G.; Alfonsi, L.; Romano, V.] Natl Inst Geophys &amp; Volcanol INGV, I-00143 Rome, Italy; [Monico, J. F. G.; Marques, H.] Univ State Sao Paulo UNESP, Dept Cartography, BR-05508 Sao Paulo, Brazil; [Mitchell, C.] Univ Bath, Dept Elect &amp; Elect Engn, Bath BA2 7AY, Avon, England</t>
  </si>
  <si>
    <t>University of Nottingham; Istituto Nazionale Geofisica e Vulcanologia (INGV); Universidade Estadual Paulista; University of Bath</t>
  </si>
  <si>
    <t>Aquino, M (corresponding author), Univ Nottingham, Inst Engn Surveying &amp; Space Geodesy, Univ Pk, Nottingham NG7 2RD, England.</t>
  </si>
  <si>
    <t>marcio.aquino@nottingham.ac.uk</t>
  </si>
  <si>
    <t>MONICO, JOAO Francisco Galera/B-7754-2012; Romano, Vincenzo/HKV-6552-2023; Marques, Haroldo/H-4903-2013</t>
  </si>
  <si>
    <t>MONICO, JOAO Francisco Galera/0000-0003-4101-9261; Romano, Vincenzo/0000-0002-7532-4507; Mitchell, Cathryn/0000-0003-1964-8723; Marques, Haroldo/0000-0001-9535-8723; Alfonsi, Lucilla/0000-0002-1806-9327</t>
  </si>
  <si>
    <t>Engineering and Physical Sciences Research Council in the UK</t>
  </si>
  <si>
    <t>Engineering and Physical Sciences Research Council in the UK(UK Research &amp; Innovation (UKRI)Engineering &amp; Physical Sciences Research Council (EPSRC))</t>
  </si>
  <si>
    <t>Thanks are due to the Engineering and Physical Sciences Research Council in the UK for funding the ionospheric scintillation research at Bath and Nottingham Universities. The authors also thank the Polarnet project (CNR), the CNR SRC Dept., NOAA/SEC (Boulder, CO USA), and the PNRA (Italian National Program for Antarctic Research) project. Authors are grateful to Dan Weimer for making available the IDL code for his electric potential model.</t>
  </si>
  <si>
    <t>978-953-7044-05-3</t>
  </si>
  <si>
    <t>Computer Science, Information Systems; Engineering, Electrical &amp; Electronic; Telecommunications</t>
  </si>
  <si>
    <t>Computer Science; Engineering; Telecommunications</t>
  </si>
  <si>
    <t>BHV28</t>
  </si>
  <si>
    <t>WOS:000256667800014</t>
  </si>
  <si>
    <t>Zubakin, GK; Eider, LI; Buzin, IV; Lebedev, AA; Ivanov, VV</t>
  </si>
  <si>
    <t>ISOPE</t>
  </si>
  <si>
    <t>Zubakin, G. K.; Eider, L. I.; Buzin, I. V.; Lebedev, A. A.; Ivanov, V. V.</t>
  </si>
  <si>
    <t>Conditions for formation of extremely severe ice seasons in the Barents Sea in the second part of the XX century</t>
  </si>
  <si>
    <t>PROCEEDINGS OF THE SEVENTEENTH (2007) INTERNATIONAL OFFSHORE AND POLAR ENGINEERING CONFERENCE, VOL 1- 4, PROCEEDINGS</t>
  </si>
  <si>
    <t>International Offshore and Polar Engineering Conference Proceedings</t>
  </si>
  <si>
    <t>17th International Offshore and Polar Engineering Conference (ISOPE 2007)</t>
  </si>
  <si>
    <t>JUL 01-06, 2007</t>
  </si>
  <si>
    <t>Lisbon, PORTUGAL</t>
  </si>
  <si>
    <t>ice cover; severe ice conditions; criteria; large-scale atmospheric processes; residual ice; heat content</t>
  </si>
  <si>
    <t>Ice cover significantly hinders development of hydrocarbon deposits in the North-Eastern part of the Barents Sea shelf. Analysis of 10 seasons with the most severe ice conditions is presented in this article for the period from early 1950-s till the present time. This period is covered by good quality information, which allows a reliable assessment of ice regime components. Analysis of selected seasons is given, and conditions of their formation are described. Conditions of formation of extremely severe seasons depend on development of synoptic processes, presence of residual ice during the preceding period and decreased heat content of water incoming with the Nordkapp Current to the Barents Sea.</t>
  </si>
  <si>
    <t>State Inst Arctic &amp; Antarctic Res Inst, St Petersburg, Russia</t>
  </si>
  <si>
    <t>Zubakin, GK (corresponding author), State Inst Arctic &amp; Antarctic Res Inst, St Petersburg, Russia.</t>
  </si>
  <si>
    <t>Norsk Hydro</t>
  </si>
  <si>
    <t>Norsk Hydro(Norsk Hydro ASA)</t>
  </si>
  <si>
    <t>The authors are grateful to Norsk Hydro for financial support of this study and Professor E. Eranti for active discussion of the problem of extreme ice seasons. The help of Miss E. Skutina (work with paper template) is highly appreciated. We are also very grateful for the efforts of the reviewer.</t>
  </si>
  <si>
    <t>INTERNATIONAL SOCIETY OFFSHORE&amp; POLAR ENGINEERS</t>
  </si>
  <si>
    <t>CUPERTINO</t>
  </si>
  <si>
    <t>PO BOX 189, CUPERTINO, CA 95015-0189 USA</t>
  </si>
  <si>
    <t>1098-6189</t>
  </si>
  <si>
    <t>978-1-880653-68-5</t>
  </si>
  <si>
    <t>INT OFFSHORE POLAR E</t>
  </si>
  <si>
    <t>Energy &amp; Fuels; Engineering, Marine; Engineering, Ocean; Engineering, Petroleum; Engineering, Mechanical</t>
  </si>
  <si>
    <t>Energy &amp; Fuels; Engineering</t>
  </si>
  <si>
    <t>BGU91</t>
  </si>
  <si>
    <t>WOS:000250717700093</t>
  </si>
  <si>
    <t>Krupina, NA; Kubyshkin, NV</t>
  </si>
  <si>
    <t>Krupina, Nina A.; Kubyshkin, Nickolay V.</t>
  </si>
  <si>
    <t>Flexural strength of drifting level first-year ice in the Barents Sea</t>
  </si>
  <si>
    <t>flexural ice strength; cantilever beam test; disk test; ice temperature; ice salinity; ice density; ice porosity</t>
  </si>
  <si>
    <t>The AARI performed ice research work in the Barents Sea during the last 10 years (1996-2006). In the course of this work great amount of material was collected on flexural strength of drifting first-year sea ice (138 cantilever beam tests, many tests of small discs). Results of data analysis for level ice are presented in this report; this analysis was performed separately for the south-eastern and north-eastern regions of the Barents Sea. Influence of different ice characteristics exerted on the flexural strength is studied (temperature, salinity, brine volume etc.). Relation is analyzed between the full-scale flexural strength of ice cover determined by the results of the cantilever tests, and the strength corresponding to the tests of small specimens. As the most reliable method of ice flexural strength determination are the cantilever tests cut out of the entire ice thickness. However, these experiments are the most labor-intensive, so the trial was made to obtain empirical relations between the physical proper-ties of ice, strength of small specimens and full-scale flexural strength of level ice.</t>
  </si>
  <si>
    <t>Arctic &amp; Antarctic Res Inst, St Petersburg 199226, Russia</t>
  </si>
  <si>
    <t>Arctic &amp; Antarctic Research Institute</t>
  </si>
  <si>
    <t>Krupina, NA (corresponding author), Arctic &amp; Antarctic Res Inst, St Petersburg 199226, Russia.</t>
  </si>
  <si>
    <t>Krupina, Nina/0000-0002-3043-5713</t>
  </si>
  <si>
    <t>WOS:000250717700094</t>
  </si>
  <si>
    <t>Dmitriev, NY; Nesterov, AV</t>
  </si>
  <si>
    <t>Dmitriev, Nicolay Ye.; Nesterov, Alexander V.</t>
  </si>
  <si>
    <t>Iceberg drift in the Barents Sea according to the observation data and simulation results</t>
  </si>
  <si>
    <t>Barents Sea; iceberg; ARGOS buoy; Inmarsat-C buoy; iceberg drift model</t>
  </si>
  <si>
    <t>Basis of field observations for iceberg drift is a data archive obtained with the help of the coordinate drifting ARGOS buoys. In the last time, the coordinate buoys on the basis of the INMARSAT system are actively used at the Arctic and Antarctic Research Institute (AARI) for positioning of icebergs having a high precession of determination and equidistant temporal intervals. A model of iceberg drift is represented in combination with a three-dimensional hydro-dynamical model of ice-ocean circulation. It was revealed that the most probable producers of icebergs, appearing in the central part of the Barents Sea, are the glaciers of the Franz Josef Land.</t>
  </si>
  <si>
    <t>SI Arctic &amp; Antarctic Res Inst, St Petersburg, Russia</t>
  </si>
  <si>
    <t>Dmitriev, NY (corresponding author), SI Arctic &amp; Antarctic Res Inst, St Petersburg, Russia.</t>
  </si>
  <si>
    <t>WOS:000250717700095</t>
  </si>
  <si>
    <t>Naumov, AK; Gudoshnikov, YP; Skutina, EA</t>
  </si>
  <si>
    <t>Naumov, Aleksey K.; Gudoshnikov, Yury P.; Skutina, Elena A.</t>
  </si>
  <si>
    <t>Determination of the design ice ridge based on data of expedition studies in the northeastern Barents Sea</t>
  </si>
  <si>
    <t>Barents Sea; ice ridge; ice ridge sail; ice ridge keel</t>
  </si>
  <si>
    <t>For the last few years the State Institution Arctic and Antarctic Research Institute (SI AARI) has been organizing annual complex ice research expeditions in the northeastern Barents Sea. One of the main aims of these surveys is to investigate the ice cover characteristics necessary for design of offshore structures. This work is devoted to investigation of ridged features of the Barents Sea and construction of a design ice ridge-some virtual object the characteristics of which will be taken into account in calculations of loads on engineering structures for their design.</t>
  </si>
  <si>
    <t>[Naumov, Aleksey K.; Gudoshnikov, Yury P.; Skutina, Elena A.] State Inst Arctic &amp; Antarctic Res Inst, St Petersburg, Russia</t>
  </si>
  <si>
    <t>Naumov, AK (corresponding author), State Inst Arctic &amp; Antarctic Res Inst, St Petersburg, Russia.</t>
  </si>
  <si>
    <t>Naumov, Alexander Kondratevich/A-1581-2014</t>
  </si>
  <si>
    <t>[5337865]</t>
  </si>
  <si>
    <t>The authors are grateful to Dr. Eide (Hydro Oil &amp; Energy, Norway) and Dr. Eranti (ERANTI ENGINEERING OY, Finland) for a number of valuable comments made in the framework of studies under the project No. 5337865 of 3 March 2006.</t>
  </si>
  <si>
    <t>WOS:000250717700112</t>
  </si>
  <si>
    <t>Rodrigo, JS; Gorle, C; van Beeck, J; Planquart, P</t>
  </si>
  <si>
    <t>Rodrigo, J. Sanz; Gorle, C.; van Beeck, J.; Planquart, P.</t>
  </si>
  <si>
    <t>Aerodynamic design of the Princess Elizabeth Antarctic Research Station</t>
  </si>
  <si>
    <t>antarctica; building; aerodynamics; snow; sand</t>
  </si>
  <si>
    <t>BUILDINGS; SNOWDRIFT</t>
  </si>
  <si>
    <t>A new Belgian Research Station will be constructed in the Sor Rondane Mountains, Antarctica, during the austral summer 2007-2008. In the conceptual design phase, wind tunnel modeling using sand erosion technique allows efficient evaluation of the snow erosion and deposition around different building-block shapes. The best performing concept is further analyzed in terms of wind loading using a model instrumented with pressure taps. The positioning of the main building with respect to the ridge has a significant impact on wind loading and snow erosion and deposition. The detailed design is carried out using wind tunnel and CFD modeling (not reported).</t>
  </si>
  <si>
    <t>[Rodrigo, J. Sanz; Gorle, C.; van Beeck, J.; Planquart, P.] Von Karman Inst Fluid Dynam, Rhode St Genese, Belgium</t>
  </si>
  <si>
    <t>Rodrigo, JS (corresponding author), Von Karman Inst Fluid Dynam, Rhode St Genese, Belgium.</t>
  </si>
  <si>
    <t>WOS:000250717702058</t>
  </si>
  <si>
    <t>Antarctica; building; aerodynamics; snow; sand</t>
  </si>
  <si>
    <t>WOS:000250717702071</t>
  </si>
  <si>
    <t>Becker, J</t>
  </si>
  <si>
    <t>Halzen, F; Karle, A; Montaruli, T</t>
  </si>
  <si>
    <t>Becker, Julia</t>
  </si>
  <si>
    <t>Implications of AMANDA neutrino flux limits</t>
  </si>
  <si>
    <t>PROCEEDINGS OF THE TEV PARTICLE ASTROPHYSICS II WORKSHOP</t>
  </si>
  <si>
    <t>TeV Particle Astrophysics II Workshop 2006</t>
  </si>
  <si>
    <t>AUG 28-31, 2006</t>
  </si>
  <si>
    <t>Madison, WI</t>
  </si>
  <si>
    <t>The Antarctic Muon And Neutrino Detector Array (AMANDA) is currently the most sensitive neutrino telescope at high energies. Data have been collected in a period of eight years and analyzed with different analysis strategies. Limits to the neutrino flux from point sources, transient emissions, source catalogs and limits to different diffuse flux models have been obtained implying in some cases strong constraints to hadronic interaction models of such sources. In this contribution, implications of the diffuse neutrino limit will be discussed with respect to neutrino production mechanisms in astrophysical sources.</t>
  </si>
  <si>
    <t>Univ Dortmund, Inst Phys, D-44221 Dortmund, Germany</t>
  </si>
  <si>
    <t>Dortmund University of Technology</t>
  </si>
  <si>
    <t>Becker, J (corresponding author), Univ Dortmund, Inst Phys, D-44221 Dortmund, Germany.</t>
  </si>
  <si>
    <t>julia.becker@udo.edu</t>
  </si>
  <si>
    <t>Tjus, Julia/G-8145-2012; Sánchez, Juan Antonio Aguilar/H-4467-2015</t>
  </si>
  <si>
    <t>Tjus, Julia/0000-0002-1748-7367;</t>
  </si>
  <si>
    <t>10.1088/1742-6596/60/1/046</t>
  </si>
  <si>
    <t>BGF87</t>
  </si>
  <si>
    <t>WOS:000246508400046</t>
  </si>
  <si>
    <t>Dumm, J; Landsman, H</t>
  </si>
  <si>
    <t>Dumm, Jon; Landsman, Hagar</t>
  </si>
  <si>
    <t>IceCube - First results</t>
  </si>
  <si>
    <t>During the last two austral summers, the first sensors of the IceCube neutrino observatory were deployed in the deep Antarctic ice, along with a surface array. We will present first results obtained using the IceCube detector, demonstrating that the performance is within the design requirements, and showing the ability to reconstruct tracks, cascades and synchronizing times in the entire array to within 3 ns.</t>
  </si>
  <si>
    <t>[Dumm, Jon; Landsman, Hagar; IceCube Collaboration] Univ Wisconsin, Dept Phys, 1150 Univ Ave, Madison, WI 53706 USA</t>
  </si>
  <si>
    <t>University of Wisconsin System; University of Wisconsin Madison</t>
  </si>
  <si>
    <t>Dumm, J (corresponding author), Univ Wisconsin, Dept Phys, 1150 Univ Ave, Madison, WI 53706 USA.</t>
  </si>
  <si>
    <t>jdumm@icecube.wisc.edu; hagar@icecube.wisc.edu</t>
  </si>
  <si>
    <t>10.1088/1742-6596/60/1/076</t>
  </si>
  <si>
    <t>WOS:000246508400076</t>
  </si>
  <si>
    <t>Zeng, YX; Li, HR; Yu, Y; Chen, B</t>
  </si>
  <si>
    <t>Zeng Yinxin; Li Huirong; Yu Yong; Chen Bo</t>
  </si>
  <si>
    <t>Phylogenetic relationship and phenotypic comparison of Psychrobacter species isolated from polar oceans</t>
  </si>
  <si>
    <t>PROGRESS IN NATURAL SCIENCE-MATERIALS INTERNATIONAL</t>
  </si>
  <si>
    <t>Psychrobacter; phylogenetic; phenotypic; Arctic; Antarctic</t>
  </si>
  <si>
    <t>SEA-ICE BACTERIA; SP-NOV.; DIVERSITY; COMMUNITIES; DEFINITION; ATLANTIC; SEQUENCE</t>
  </si>
  <si>
    <t>To investigate the phylogenetic relationship and biogeography of bacterioplankton in polar oceans, four Psychrobacter strains, BSw10170, BSw20352, BSw20370, and BSw20461, isolated from seawater of the Bering Sea, the Chukchi Sea, and the Prydz Bay, were characterized by 16S rDNA sequencing and physiological and biochemical testing. Results demonstrated that close relationships existed between the Arctic and Antarctic strains with sequence similarities higher than 97%. These four Psychrobacter strains not only showed almost identical phenotypic characteristics among them, but also shared a lot of similarities with those related Psychrobacter species, indicating that psychrotolerance and halotolerance of Psychrobacter strains may be among the reasons for their bipolar, even global distribution in marine environments at the genus level.</t>
  </si>
  <si>
    <t>Polar Res Inst China, Key Lab Polar Sci, State Ocean Adm, Shanghai 200136, Peoples R China</t>
  </si>
  <si>
    <t>Polar Research Institute of China</t>
  </si>
  <si>
    <t>Zeng, YX (corresponding author), Polar Res Inst China, Key Lab Polar Sci, State Ocean Adm, Shanghai 200136, Peoples R China.</t>
  </si>
  <si>
    <t>yxzeng@sina.com</t>
  </si>
  <si>
    <t>1002-0071</t>
  </si>
  <si>
    <t>1745-5391</t>
  </si>
  <si>
    <t>PROG NAT SCI-MATER</t>
  </si>
  <si>
    <t>Prog. Nat. Sci.</t>
  </si>
  <si>
    <t>Materials Science, Multidisciplinary; Multidisciplinary Sciences</t>
  </si>
  <si>
    <t>Materials Science; Science &amp; Technology - Other Topics</t>
  </si>
  <si>
    <t>141YI</t>
  </si>
  <si>
    <t>WOS:000244614700008</t>
  </si>
  <si>
    <t>McCreary, JP; Miyama, T; Furue, R; Jensen, T; Kang, HW; Bang, B; Qu, T</t>
  </si>
  <si>
    <t>McCreary, Julian P.; Miyama, Torn; Furue, Ryo; Jensen, Tommy; Kang, Hyoun-Woo; Bang, Bohyun; Qu, Tangdong</t>
  </si>
  <si>
    <t>Interactions between the Indonesian throughflow and circulations in the Indian and Pacific Oceans</t>
  </si>
  <si>
    <t>PROGRESS IN OCEANOGRAPHY</t>
  </si>
  <si>
    <t>Indonesian throughflow; pacific ocean; Indian ocean; antarctic intermediate water; thermostad water; great barrier reef undercurrent; Tsuchiya Jets</t>
  </si>
  <si>
    <t>WESTERN EQUATORIAL PACIFIC; ANTARCTIC INTERMEDIATE WATER; DEPTH-INTEGRATED FLOW; WORLD OCEAN; HEAT-TRANSPORT; WIND STRESS; DYNAMICS; THERMOCLINE; VENTILATION; MODE</t>
  </si>
  <si>
    <t>(Cir)culations associated with the Indonesian Throughflow (IT), particularly concerning subsurface currents in the Pacific Ocean, are studied using three types of models: a linear, continuously stratified (LCS) model and a nonlinear, 41/2-layer model (LOM), both confined to the Indo-Pacific basin; and a global, ocean general circulation model (COCO). Solutions are wind forced, and obtained with both open and closed Indonesian passages. Layers 1-4 of LOM correspond to nearsurface, thermocline, subthermocline (thermostad), and upper-intermediate (AAIW) water, respectively, and analogous layers are defined for COCO. The three models share a common dynamics. When the Indonesian passages are abruptly opened, barotropic and baroclinic waves radiate into the interiors of both oceans. The steady-state, barotropic flow field from the difference (open - closed) solution is an anticlockwise circulation around the perimeter of the southern Indian Ocean, with its meridional branches confined to the western boundaries of both oceans. In contrast, steady-state, baroclinic flows extend into the interiors of both basins, a consequence of damping of baroclinic waves by diapycnal processes (internal diffusion, upwelling and subduction, and convective overturning). Deep IT-associated currents are the subsurface parts of these baroclinic flows. In the Pacific, they tend to be directed eastward and poleward, extend throughout the basin, and are closed by upwelling in the eastern ocean and Subpolar Gyre. Smaller-scale aspects of their structure vary significantly among the models, depending on the nature of their diapycnal mixing. At the exit to the Indonesian Seas, the IT is highly surface trapped in all the models, with a prominent, deep core in the LCS model and in LOM. The separation into two cores is due to near-equatorial, eastward-flowing, subsurface currents in the Pacific Ocean, which drain layer 2 and layer 3 waters from the western ocean to supply water for the upwelling regions in the eastern ocean; indeed, depending on the strength and parameterization of vertical diffusion in the Pacific interior, the draining can be strong enough that layer 3 water flows from the Indian to Pacific Ocean. The IT in COCO lacks a significant deep core, likely because the model's coarse bottom topography has no throughflow passage below 1000 m. Consistent with observations, water in the near-surface (deep) core comes mostly from the northern (southern) hemisphere, a</t>
  </si>
  <si>
    <t>Univ Hawaii, IPRC SOEST, Honolulu, HI 96822 USA; Frontier Res Syst Global Change, Yokohama, Kanagawa, Japan</t>
  </si>
  <si>
    <t>University of Hawaii System; Japan Agency for Marine-Earth Science &amp; Technology (JAMSTEC)</t>
  </si>
  <si>
    <t>McCreary, JP (corresponding author), Univ Hawaii, IPRC SOEST, POST Bldg 401,1680 E W Rd, Honolulu, HI 96822 USA.</t>
  </si>
  <si>
    <t>jay@hawaii.edu</t>
  </si>
  <si>
    <t>Jensen, Tommy G./AAI-5650-2021; Miyama, Toru/A-3824-2009</t>
  </si>
  <si>
    <t>Miyama, Toru/0000-0002-6400-0312</t>
  </si>
  <si>
    <t>0079-6611</t>
  </si>
  <si>
    <t>1873-4472</t>
  </si>
  <si>
    <t>PROG OCEANOGR</t>
  </si>
  <si>
    <t>Prog. Oceanogr.</t>
  </si>
  <si>
    <t>10.1016/j.pocean.2007.05.004</t>
  </si>
  <si>
    <t>222UY</t>
  </si>
  <si>
    <t>WOS:000250324100003</t>
  </si>
  <si>
    <t>Cavaleri, L; Alves, JHGM; Ardhuin, F; Babanin, A; Banner, M; Belibassakis, K; Benoit, M; Donelan, M; Groeneweg, J; Herbers, THC; Hwang, P; Janssen, PAEM; Janssen, T; Lavrenov, IV; Magne, R; Monbaliu, J; Onorato, M; Polnikov, V; Resio, D; Rogers, WE; Sheremet, A; Smith, JM; Tolman, HL; van Vledder, G; Wolf, J; Young, I</t>
  </si>
  <si>
    <t>Cavaleri, L.; Alves, J. -H. G. M.; Ardhuin, F.; Babanin, A.; Banner, M.; Belibassakis, K.; Benoit, M.; Donelan, M.; Groeneweg, J.; Herbers, T. H. C.; Hwang, P.; Janssen, P. A. E. M.; Janssen, T.; Lavrenov, I. V.; Magne, R.; Monbaliu, J.; Onorato, M.; Polnikov, V.; Resio, D.; Rogers, W. E.; Sheremet, A.; Smith, J. Mckee; Tolman, H. L.; van Vledder, G.; Wolf, J.; Young, I.</t>
  </si>
  <si>
    <t>Wave modelling - The state of the art</t>
  </si>
  <si>
    <t>wind waves; wind-wave generation; wave-wave interaction; wave propagation; wave dissipation; wave-current interaction; numerics</t>
  </si>
  <si>
    <t>SURFACE GRAVITY-WAVES; LINEAR ENERGY-TRANSFER; WIND-GENERATED WAVES; NONLINEAR 4-WAVE INTERACTIONS; WEAK TURBULENCE THEORY; SHORT-FETCH BEHAVIOR; SHALLOW-WATER WAVES; BOUNDARY-LAYER-FLOW; BOTTOM FRICTION; OCEAN WAVES</t>
  </si>
  <si>
    <t>This paper is the product of the wave modelling community and it tries to make a picture of the present situation in this branch of science, exploring the previous and the most recent results and looking ahead towards the solution of the problems we presently face. Both theory and applications are considered. The many faces of the subject imply separate discussions. This is reflected into the single sections, seven of them, each dealing with a specific topic, the whole providing a broad and solid overview of the present state of the art. After an introduction framing the problem and the approach we followed, we deal in sequence with the following subjects: (Section) 2, generation by wind; 3, nonlinear interactions in deep water; 4, white-capping dissipation; 5, nonlinear interactions in shallow water; 6, dissipation at the sea bottom; 7, wave propagation; 8, numerics. The two final sections, 9 and 10, summarize the present situation from a general point of view and try to look at the future developments. (c) 2007 Elsevier Ltd. All rights reserved.</t>
  </si>
  <si>
    <t>[Cavaleri, L.] Inst Marine Sci, I-30122 Venice, Italy; [Alves, J. -H. G. M.] MetOcean Engineers Pty Ltd, Jolimont, WA 6014, Australia; [Ardhuin, F.] French Naval Oceanog Ctr, SHOM CMO RED, F-29609 Brest, France; [Babanin, A.; Young, I.] Swinburne Univ Technol, Hawthorn, Vic 3122, Australia; [Banner, M.] Univ New S Wales, Sch Math, Sydney, NSW 2052, Australia; [Belibassakis, K.] Natl Tech Univ Athens, Shipbuilding Dept, Egaleo 12210, Greece; [Benoit, M.] Lab Natl Hydraul &amp; Environm, F-78400 Chatou, France; [Donelan, M.] Miami Univ, RSMAS AMP, Miami, FL 33149 USA; [Groeneweg, J.] Delft Hydraul, NL-2600 MH Delft, Netherlands; [Herbers, T. H. C.] USN, Postgrad Sch, Dept Oceanog, Monterey, CA 93943 USA; [Hwang, P.] USN, Res Lab, Washington, DC 20375 USA; [Janssen, P. A. E. M.] ECMWF, Reading RG2 9AX, Berks, England; [Janssen, T.] Delft Univ Technol, Fac Civil Engn &amp; Geosci, Fluid Mech Sect, NL-2600 GA Delft, Netherlands; [Lavrenov, I. V.] Arctic &amp; Antarctic Res Inst, St Petersburg 199397, Russia; [Magne, R.] SHOM, F-29609 Brest, France; [Monbaliu, J.] Katholieke Univ Leuven, Hydraul Lab, B-3001 Heverlee, Belgium; [Onorato, M.] Univ Turin, Dipartimento Fis Gen, I-10125 Turin, Italy; [Polnikov, V.] AM Obukhouv Inst Phys Atmoshpere, Moscow 119017, Russia; [Resio, D.; Smith, J. Mckee] US Army Engineer Res &amp; Dev Ctr, Coastal &amp; Hydraul Lab, Vicksburg, MS 39180 USA; [Rogers, W. E.] Naval Res Lab, Stennis Space Ctr, MS 39529 USA; [Sheremet, A.] Univ Florida, Gainesville, FL 32611 USA; [Tolman, H. L.] NOAA, NCEP, SAIC GSO, Camp Springs, MD USA; [van Vledder, G.] Alkyon Hydraul Consultancy &amp; Res, NL-8300 AE Emmeloord, Netherlands; [Wolf, J.] Proudman Oceang Lab, Liverpool L3 5DA, Merseyside, England</t>
  </si>
  <si>
    <t>Consiglio Nazionale delle Ricerche (CNR); Istituto di Scienze Marine (ISMAR-CNR); Swinburne University of Technology; University of New South Wales Sydney; National Technical University of Athens; United States Department of Defense; United States Navy; Naval Postgraduate School; United States Department of Defense; United States Navy; Naval Research Laboratory; European Centre for Medium-Range Weather Forecasts (ECMWF); Delft University of Technology; Arctic &amp; Antarctic Research Institute; KU Leuven; University of Turin; Russian Academy of Sciences; Obukhov Institute of Atmospheric Physics of Russian Academy of Sciences; United States Department of Defense; United States Army; U.S. Army Corps of Engineers; U.S. Army Engineer Research &amp; Development Center (ERDC); Field Research Facility (FRF); United States Department of Defense; United States Navy; Naval Research Laboratory; State University System of Florida; University of Florida; Science Applications International Corporation (SAIC); National Oceanic Atmospheric Admin (NOAA) - USA; NERC National Oceanography Centre</t>
  </si>
  <si>
    <t>Cavaleri, L (corresponding author), Inst Marine Sci, Castello 1364-A, I-30122 Venice, Italy.</t>
  </si>
  <si>
    <t>luigi.cavateri@ismar.cnr.it</t>
  </si>
  <si>
    <t>Onorato, Miguel/G-7104-2012; Hwang, Paul/T-9305-2019; Babanin, Alexander V/A-6676-2008; Ardhuin, Fabrice/A-1364-2011; Alves, Jose-Henrique/AAD-6479-2021; Young, Ian/E-7385-2011; Benoit, Michel/ABC-4047-2021; Smith, Jane/JTT-9564-2023; Monbaliu, Jaak/AAA-6145-2020; Rogers, William/GWC-2040-2022; Monbaliu, Jaak/F-7677-2017; Wolf, Judith/AAE-7828-2020; Onorato, Miguel/AAE-8793-2021; CNR, Ismar/P-1247-2014</t>
  </si>
  <si>
    <t>Onorato, Miguel/0000-0001-9141-2147; Hwang, Paul/0000-0001-5683-9348; Ardhuin, Fabrice/0000-0002-9309-9681; Young, Ian/0000-0003-2233-9227; Benoit, Michel/0000-0003-4195-2983; Monbaliu, Jaak/0000-0002-6107-4201; Rogers, William/0000-0001-8235-2218; Wolf, Judith/0000-0003-4129-8221; Onorato, Miguel/0000-0001-9141-2147; Cavaleri, Luigi/0000-0003-0360-2077; Belibassakis, Kostas/0000-0002-9191-9543; Babanin, Alexander/0000-0002-8595-8204; Van Vledder, Gerbrant/0000-0001-6314-9118; CNR, Ismar/0000-0001-5351-1486; Alves, Jose-Henrique/0000-0001-7077-9257; Banner, Michael/0000-0002-0799-5341</t>
  </si>
  <si>
    <t>Natural Environment Research Council [soc010007, pol010006] Funding Source: researchfish; NERC [pol010006, soc010007] Funding Source: UKRI</t>
  </si>
  <si>
    <t>10.1016/j.pocean.2007.05.005</t>
  </si>
  <si>
    <t>248SX</t>
  </si>
  <si>
    <t>WOS:000252176800001</t>
  </si>
  <si>
    <t>McCartney, MS; Donohue, KA</t>
  </si>
  <si>
    <t>McCartney, Michael S.; Donohue, Kathleen A.</t>
  </si>
  <si>
    <t>A deep cyclonic gyre in the Australian-Antarctic Basin</t>
  </si>
  <si>
    <t>abyssal circulation; gyres; wind-driven circulation; boundary currents; Antarctic circumpolar current</t>
  </si>
  <si>
    <t>CIRCUMPOLAR CURRENT SOUTH; TOTAL GEOSTROPHIC CIRCULATION; PRINCESS-ELIZABETH TROUGH; WESTERN BOUNDARY CURRENT; WORLD OCEAN CIRCULATION; LARGE-SCALE CIRCULATION; BOTTOM-WATER; INDIAN-OCEAN; HYDROGRAPHIC SECTION; OBSCURANTIST PHYSICS</t>
  </si>
  <si>
    <t>The traditional image of ocean circulation between Australia and Antarctica is of a dominant belt of eastward flow, the Antarctic Circumpolar Current, with comparatively weak adjacent westward flows that provide anticyclonic circulation north and cyclonic circulation south of the Antarctic Circumpolar Current. This image mostly follows from geostrophic estimates from hydrography using a bottom level of no motion for the eastward flow regime which typically yield transports near 170 Sv. Net eastward transport of about 145 Sv for this region results from subtracting those westward flows. This estimate is compatible with the canonical 134 Sv through Drake Passage with augmentation from Indonesian Throughflow (around 10 Sv). A new image is developed from World Ocean Circulation Hydrographic Program sections I8S and I9S. These provide two quasi-meridional crossings of the South Australian Basin and the Australian-Antarctic Basin, with full hydrography and two independent direct-velocity measurements (shipboard and lowered acoustic Doppler current profiters). These velocity measurements indicate that the belt of eastward flow is much stronger, 271 49 Sv, than previously estimated because of the presence of eastward barotropic flow. Substantial recirculations exist adjacent to the Antarctic Circumpolar Current: to the north a 38 30 Sv anticyclonic gyre and to the south a 76 26 Sv cyclonic gyre. The net flow between Australia and Antarctica is estimated as 157 58 Sv, which falls within the expected net transport of 145 Sv. The 38 Sv anticyclonic gyre in the South Australian Basin involves the westward Flinders Current along southern Australia and a substantial 33 Sv Subantarctic Zone recirculation to its south. The cyclonic gyre in the Australian-Antarctic Basin has a substantial 76 Sv westward flow over the continental slope of Antarctica, and 48 6 Sv northward-flowing western boundary current along the Kerguelen Plateau near 57 degrees S. The cyclonic gyre only partially closes within the Australian-Antarctic Basin. It is estimated that 45 Sv bridges westward to the Weddell Gyre through the southern Princess Elizabeth Trough and returns through the northern Princess Elizabeth Trough and the Fawn Trough - where a substantial eastward 38 Sv current is hypothesized. There is evidence that the cyclonic gyre also projects eastward past the Balleny Islands to the Ross Gyre in the South Pacific. The western boundary current along Kerguelen Plateau collides with the Antarctic Circumpolar Current that enters the Australian-Antarctic Basin through the Kerguelen-St. Paul Island Passage, forming an energetic Crozet Kerguelen Confluence. Strongest filaments in the meandering Crozet-Kerguelen Confluence reach 100 Sv. Dense water in the western boundary current intrudes beneath the densest water of the Antarctic Circumpolar Current; they intensely mix diapycnally to produce a high potential vorticity signal that extends eastward along the southern flank of the Southeast Indian Ridge. Dense water penetrates through the Ridge into the South Australian Basin. Two escape pathways are indicated, water delivered to the South Australian Basin passes north to the Perth Basin west of Australia and east to the Tasman Basin. (c) 2007 Elsevier Ltd. All rights reserved.</t>
  </si>
  <si>
    <t>[McCartney, Michael S.] Woods Hole Oceanog Inst, Dept Phys Oceanog, Woods Hole, MA 02543 USA; [Donohue, Kathleen A.] Univ Rhode Isl, Grad Sch Oceanog, Narragansett, RI 02882 USA</t>
  </si>
  <si>
    <t>Woods Hole Oceanographic Institution; University of Rhode Island</t>
  </si>
  <si>
    <t>McCartney, MS (corresponding author), Woods Hole Oceanog Inst, Dept Phys Oceanog, Woods Hole, MA 02543 USA.</t>
  </si>
  <si>
    <t>mmecartney@whoi.edu</t>
  </si>
  <si>
    <t>McCartney, Michael/A-3922-2009</t>
  </si>
  <si>
    <t>McCartney, Michael/0000-0002-3413-7166</t>
  </si>
  <si>
    <t>10.1016/j.pocean.2007.02.008</t>
  </si>
  <si>
    <t>WOS:000252176800002</t>
  </si>
  <si>
    <t>Sultan, E; Mercier, H; Pollard, RT</t>
  </si>
  <si>
    <t>Sultan, E.; Mercier, H.; Pollard, R. T.</t>
  </si>
  <si>
    <t>An inverse model of the large scale circulation in the South Indian Ocean</t>
  </si>
  <si>
    <t>Southern Indian Ocean; inverse model; Antarctic Circumpolar Current; Weddell Gyre; meridional overturning circulation; mean circulation</t>
  </si>
  <si>
    <t>ANTARCTIC CIRCUMPOLAR CURRENT; ATLANTIC GENERAL-CIRCULATION; EDDY-RESOLVING MODEL; FRESH-WATER FLUXES; AGULHAS CURRENT; HYDROGRAPHIC SECTION; WEDDELL GYRE; BOTTOM WATER; OVERTURNING CIRCULATION; HEAT-TRANSPORT</t>
  </si>
  <si>
    <t>An overview of the large-scale circulation of the South Indian Ocean (SIO) (10 degrees S-70 degrees S/20 degrees E-120 degrees E) is proposed based on historical hydrographic data (1903-1996) synthesized with a finite-difference inverse model. The in situ density, potential temperature and salinity fields of selected hydrographic stations are projected on the basis of EOFs. Then the EOF coefficients (the projected values) are interpolated on the model grid (1 degrees in latitude, 2 degrees in longitude) using an objective analysis whose spatial correlation functions are fitted to the data set. The resulting fields are the input of the inverse model. This procedure filters out the small-scale features. Twelve modes are needed to keep the vertical structures of the fields but the first three modes are sufficient to reproduce the large-scale horizontal features of the SIO: the Subtropical Gyre, the Weddell Gyre, the different branches of the Antarctic Circumpolar Current. The dynamics is steady state. The estimated circulation is in geostrophic balance and satisfies mass, heat and potential vorticity conservation. The wind and air-sea heat forcing are annual means from ERS1 and ECMWF, respectively. The main features of the various current systems of the SIO are quantified and reveal topographic control of the deep and bottom circulation. The cyclonic Weddell Gyre, mainly barotropic, transports 45 Sv (1 Sv=10(6)m(3)/s), and has an eastern extension limited by the southern part of the Antarctic Circumpolar Current. The bottom circulation north of 50 degrees S is complex. The Deep Western Boundary Currents are identified as well as cyclonic recirculations. South east of the Kerguelen Plateau, the bottom circulation is in good agreement with previous water mass analysis. The comparison between some recent regional analysis and the inverse estimation is limited by the model resolution and lack of deep data. The meridional overturning circulation (MOC) is estimated from the finite difference inverse model. Between 26 degrees S and 32 degrees S the reversal of the current deepens and reaches 1400 m at 32 degrees S. The major part of the deep meridional transport at 32'S is located between the African coast and the Madagascar Ridge, carried by the Agulhas Undercurrent. The mean value for this meridional thermohaline recirculation is 8.8 +/- 4.4 Sv between 26 degrees S and 32 degrees S. The Agulhas Undercurrent (11 Sv) is associated with a weak Agulhas Current (55 Sv). The MOC is thus trapped in the western margin of the Southwest Indian Ridge. The corresponding vertical velocity along 32 degrees S between 30 degrees E and 42 degrees E is 7.2x10(-5)+/- 8.9x10(-5) cm s(-1). The net meridional heat flux represents -0.53 PW at 18 degrees S and -0.33 PW at 32 degrees S (negative values for south-ward transports). The intensity of the meridional heat flux is linked to the intensity of the Agulhas Current and to the vertical mixing. (c) 2007 Elsevier Ltd. All rights reserved.</t>
  </si>
  <si>
    <t>Univ Paris 06, Inst Pierre Simon Laplace, Lab Oceanog &amp; Climat Expt &amp; Approche Numer, Museum Natl Hist Nat, F-75252 Paris 05, France; UBO, IFREMER, CNRS, Lab Phys Oceans, F-29280 Plouzane, France; Natl Oceanog Ctr, Southampton SO14 3ZH, Hants, England</t>
  </si>
  <si>
    <t>Universite Paris Cite; Centre National de la Recherche Scientifique (CNRS); CNRS - National Institute for Earth Sciences &amp; Astronomy (INSU); Universite Paris Saclay; Museum National d'Histoire Naturelle (MNHN); Sorbonne Universite; Centre National de la Recherche Scientifique (CNRS); Ifremer; Institut de Recherche pour le Developpement (IRD); Universite de Bretagne Occidentale; Institut Universitaire Europeen de la Mer (IUEM); NERC National Oceanography Centre</t>
  </si>
  <si>
    <t>Sultan, E (corresponding author), Univ Paris 06, Inst Pierre Simon Laplace, Lab Oceanog &amp; Climat Expt &amp; Approche Numer, Museum Natl Hist Nat, Case 100,4 Pl Jussieu, F-75252 Paris 05, France.</t>
  </si>
  <si>
    <t>Emmanuelle.Sultan@locean-ipsl.upmc.fr</t>
  </si>
  <si>
    <t>MERCIER, Herle/L-4161-2015</t>
  </si>
  <si>
    <t>MERCIER, Herle/0000-0002-1940-617X</t>
  </si>
  <si>
    <t>NERC [soc010007] Funding Source: UKRI; Natural Environment Research Council [soc010007] Funding Source: researchfish</t>
  </si>
  <si>
    <t>10.1016/j.pocean.2007.02.001</t>
  </si>
  <si>
    <t>193TH</t>
  </si>
  <si>
    <t>WOS:000248297100003</t>
  </si>
  <si>
    <t>Cunningham, S; Pavic, M</t>
  </si>
  <si>
    <t>Cunningham, Stuart; Pavic, Marko</t>
  </si>
  <si>
    <t>Surface geostrophic currents across the Antarctic circumpolar current in Drake Passage from 1992 to 2004</t>
  </si>
  <si>
    <t>Southern Ocean; Drake Passage; WOCE section SR1b; Antarctic circumpolar current; surface currents; satellite altimetry; acoustic doppler current profiler; CTD; Southern annular mode</t>
  </si>
  <si>
    <t>SOUTHERN-HEMISPHERE ATMOSPHERE; SYNCHRONOUS VARIABILITY; SEA-ICE; EXTRATROPICAL CIRCULATION; VOLUME TRANSPORT; ANNULAR MODES; ALTIMETRY</t>
  </si>
  <si>
    <t>The Southern Ocean plays an important role in the global overturning circulation as a significant proportion of deep water is converted into intermediate and deeper water masses in this region. Recently, a secular trend has been reported in wind stress around the Southern Ocean and it is thought theoretically that the strength of the ACC is closely related to wind stress, so one consequence should be a corresponding increase in ACC transport and hence changes in the rate of the global overturning. There are no long-term data sets of ACC transport and so we must examine other data that may also respond to changing wind stress. Here we calculate surface currents in Drake Passage every seven days over 11.25 years from 1992 to 2004. We combine surface velocity anomalies calculated from satellite altimeter sea surface heights with measured surface currents. Since 1992, the UK has regularly occupied WOCE hydrographic section SR1b across the ACC in Drake Passage. From seven hydrographic sections surface currents are estimated by referencing relative geostrophic velocities from CTD sections with current measurements made by shipboard and lowered acoustic Doppler current profilers. Combining the seven estimates of surface currents with the altimeter data reduces bias in the estimates of average currents over time through Drake Passage and we show that surface current anomalies estimated by satellite and in situ observations are in good agreement. The strongest surface currents are found in the Subantarctic and Polar Fronts with average speeds of 50 cm/s and 35 cm/s, respectively and are inversely correlated, so that maximum westward flow in one corresponds to minimum westward flow in the other. The average cross-sectional weighted surface velocity from 1992 to 2004 is 16.7 +/- 0.2 cm/s. A spectral analysis of the average surface current has only weakly increasing energy at higher frequencies and there is no dominant mode of variability. The standard deviation of the seven day currents is 0.68 cm/s and a running 12 month average has only a slightly smaller standard deviation of 0.52 +/- 0.16 cm/s. The Southern Annular Mode (SAM) measures the circumpolar average of wind stress and like the surface currents its spectrum has slightly increased energy at frequencies greater than 1 cpy. A cospectral analysis of these, averaging cospectra of five slightly overlapping 36 month segments improve statistical reliability, suggests that there is coherence between them at 1 cpy with the currents leading changes in the Southern annular mode. We conclude that the SAM and average Drake Passage surface currents are weakly correlated with no dominant co-varying modes, and hence predicting Southern Ocean transport variability from the SAM is not likely to give significant results and that secular trends in surface currents are likely to be masked by weekly and interannual variability. (c) 2007 Elsevier Ltd. All rights reserved.</t>
  </si>
  <si>
    <t>Natl Oceanog Ctr Southampton, Empress Dock, Southampton SO14 3ZH, Hants, England; Univ Zagreb, Fac Sci, Dept Geophys, Zagreb 10000, Horvatovac Bb, Croatia</t>
  </si>
  <si>
    <t>University of Southampton; NERC National Oceanography Centre; University of Zagreb</t>
  </si>
  <si>
    <t>Cunningham, S (corresponding author), Natl Oceanog Ctr Southampton, Empress Dock, Southampton SO14 3ZH, Hants, England.</t>
  </si>
  <si>
    <t>scu@noc.soton.ac.uk</t>
  </si>
  <si>
    <t>Natural Environment Research Council [soc010007] Funding Source: researchfish; NERC [soc010007] Funding Source: UKRI</t>
  </si>
  <si>
    <t>10.1016/j.pocean.2006.07.010</t>
  </si>
  <si>
    <t>194GP</t>
  </si>
  <si>
    <t>WOS:000248333000006</t>
  </si>
  <si>
    <t>Boyd, PW; Trull, TW</t>
  </si>
  <si>
    <t>Boyd, P. W.; Trull, T. W.</t>
  </si>
  <si>
    <t>Understanding the export of biogenic particles in oceanic waters: Is there consensus?</t>
  </si>
  <si>
    <t>biogenic particles vertical carbon export; ocean biogeochemistry</t>
  </si>
  <si>
    <t>PARTICULATE ORGANIC-CARBON; PLANKTONIC COMMUNITY STRUCTURE; NORTHEAST ATLANTIC-OCEAN; PACIFIC SUBTROPICAL GYRE; POLAR FRONTAL ZONE; SOUTHERN-OCEAN; INTERANNUAL VARIABILITY; TIME-SERIES; SEDIMENT TRAPS; GLOBAL OCEAN</t>
  </si>
  <si>
    <t>We examine progress towards a global view of oceanic export of particulate organic carbon (POC) and other nutrient elements (P, N, Si) from the surface (upper 100 m), through the subsurface, to the deep sea (&gt;1000 m), focusing on syntheses published since 1999 and on the Joint Global Ocean Flux Study. Food-web structure is important, and surface and subsurface processes contribute similarly to determine the fraction of net primary production (NPP) reaching the deep sea. NPP by large cells generally favours high surface export of POC. Preferential remineralization of P and N (versus C) with depth is common, as is regional variation in subsurface POC flux attenuation. The role of mineral fluxes is complex. Annual mean fluxes of POC and minerals are correlated in global deep sediment trap records, but causality and the relative importance of different minerals depends on the assumptions made, Time-series observations at single sites can oppose the geographic trends, and their large seasonal variability in the contribution of POC to total flux is at odds with mechanistic models for POC transport by minerals. Despite generally positive correlations between biogenic carbonate and POC fluxes, the overall role of carbonate export is to decrease the transfer of carbon dioxide from the atmosphere to the ocean. Both autotrophs and heterotrophs produce minerals, and progress in separating these contributions is required for the deconvolution of mineral ballast and food-web effects. Many recent models suggest global surface POC export of similar to 10 GTC/yr, despite widely varying biological complexity. This limits the usefulness of their prediction of ecosystem and carbon cycle responses to global change. Progress requires better observations for model validation, and more efforts to relate the models to the observed complexity, rather than to overly simplified global syntheses. We advocate more time-series stations targeting under-studied biogeochemical regions, development of automated in situ tools for study of the subsurface ocean, and increased emphasis on combining ecological and biogeochemical methods. (C) 2006 Elsevier Ltd. All rights reserved.</t>
  </si>
  <si>
    <t>Univ Otago, Dept Chem, NIWA Ctr Chem &amp; Phys Oceanog, Dunedin, New Zealand; Univ Tasmania, CSIRO Marine Res, Hobart, Tas, Australia; Antarctic Climate &amp; Ecosyst Cooperat Res Ctr, Hobart, Tas, Australia</t>
  </si>
  <si>
    <t>University of Otago; Commonwealth Scientific &amp; Industrial Research Organisation (CSIRO); University of Tasmania; Antarctic Climate &amp; Ecosystems Cooperative Research Centre (ACE CRC)</t>
  </si>
  <si>
    <t>Boyd, PW (corresponding author), Univ Otago, Dept Chem, NIWA Ctr Chem &amp; Phys Oceanog, POB 56, Dunedin, New Zealand.</t>
  </si>
  <si>
    <t>Pboyd@alkali.otago.ac.nz</t>
  </si>
  <si>
    <t>Trull, Tom W/B-7028-2014; Boyd, Philip/J-7624-2014</t>
  </si>
  <si>
    <t>Boyd, Philip/0000-0001-7850-1911</t>
  </si>
  <si>
    <t>10.1016/j.pocean.2006.10.007</t>
  </si>
  <si>
    <t>158NO</t>
  </si>
  <si>
    <t>Green Accepted, Green Published</t>
  </si>
  <si>
    <t>WOS:000245798400001</t>
  </si>
  <si>
    <t>Bertram, E; Muir, S; Stonehouse, B</t>
  </si>
  <si>
    <t>Snyder, JM; Stonehouse, B</t>
  </si>
  <si>
    <t>Bertram, Esther; Muir, Shona; Stonehouse, Bernard</t>
  </si>
  <si>
    <t>Gateway Ports in the Development of Antarctic Tourism</t>
  </si>
  <si>
    <t>PROSPECTS FOR POLAR TOURISM</t>
  </si>
  <si>
    <t>[Bertram, Esther] Univ London, Dept Geog, Surrey, England; [Muir, Shona] Univ Tasmania, Inst Antarctic &amp; So Ocean Studies, Hobart, Tas 7001, Australia; [Stonehouse, Bernard] Univ Cambridge, Scott Polar Res Inst, Cambridge CB2 1ER, England</t>
  </si>
  <si>
    <t>University of London; Royal Holloway University London; University of Tasmania; University of Cambridge</t>
  </si>
  <si>
    <t>Bertram, E (corresponding author), Univ London, Dept Geog, Surrey, England.</t>
  </si>
  <si>
    <t>CABI PUBLISHING-C A B INT</t>
  </si>
  <si>
    <t>WALLINGFORD</t>
  </si>
  <si>
    <t>CABI PUBLISHING, WALLINGFORD 0X10 8DE, OXON, ENGLAND</t>
  </si>
  <si>
    <t>978-1-84593-247-3</t>
  </si>
  <si>
    <t>10.1079/9781845932473.0123</t>
  </si>
  <si>
    <t>10.1079/9781845932473.0000</t>
  </si>
  <si>
    <t>Geography; Hospitality, Leisure, Sport &amp; Tourism</t>
  </si>
  <si>
    <t>Book Citation Index – Social Sciences &amp; Humanities (BKCI-SSH)</t>
  </si>
  <si>
    <t>Geography; Social Sciences - Other Topics</t>
  </si>
  <si>
    <t>BVW75</t>
  </si>
  <si>
    <t>WOS:000293002400012</t>
  </si>
  <si>
    <t>Stonehouse, B</t>
  </si>
  <si>
    <t>Stonehouse, Bernard</t>
  </si>
  <si>
    <t>Developments in Antarctic Tourism: Introduction</t>
  </si>
  <si>
    <t>Stonehouse, B (corresponding author), Univ Cambridge, Scott Polar Res Inst, Lensfield Rd, Cambridge CB2 1ER, England.</t>
  </si>
  <si>
    <t>WOS:000293002400013</t>
  </si>
  <si>
    <t>Bertram, E</t>
  </si>
  <si>
    <t>Bertram, Esther</t>
  </si>
  <si>
    <t>Antarctic Ship-borne Tourism: an Expanding Industry</t>
  </si>
  <si>
    <t>Univ London, Dept Geog, Surrey, England</t>
  </si>
  <si>
    <t>University of London; Royal Holloway University London</t>
  </si>
  <si>
    <t>10.1079/9781845932473.0149</t>
  </si>
  <si>
    <t>WOS:000293002400014</t>
  </si>
  <si>
    <t>Lamers, M; Stel, JH; Amelung, B</t>
  </si>
  <si>
    <t>Lamers, Machiel; Stel, Jan H.; Amelung, Bas</t>
  </si>
  <si>
    <t>Antarctic Adventure Tourism and Private Expeditions</t>
  </si>
  <si>
    <t>[Lamers, Machiel; Stel, Jan H.; Amelung, Bas] Univ Maastricht, Int Ctr Integrated Assessment &amp; Sustainable Dev, Postbox 616, NL-6200 MD Maastricht, Netherlands</t>
  </si>
  <si>
    <t>Maastricht University</t>
  </si>
  <si>
    <t>Lamers, M (corresponding author), Univ Maastricht, Int Ctr Integrated Assessment &amp; Sustainable Dev, Postbox 616, NL-6200 MD Maastricht, Netherlands.</t>
  </si>
  <si>
    <t>Amelung, Bas/AAD-4323-2019</t>
  </si>
  <si>
    <t>Amelung, Bas/0000-0001-8501-9787; Lamers, Machiel/0000-0002-4189-3066</t>
  </si>
  <si>
    <t>10.1079/9781845932473.0170</t>
  </si>
  <si>
    <t>WOS:000293002400015</t>
  </si>
  <si>
    <t>Bauer, T</t>
  </si>
  <si>
    <t>Bauer, Thomas</t>
  </si>
  <si>
    <t>Antarctic Scenic Overflights</t>
  </si>
  <si>
    <t>Hong Kong Polytech Univ, Sch Hotel &amp; Tourism Management, Kowloon, Hong Kong, Peoples R China</t>
  </si>
  <si>
    <t>Hong Kong Polytechnic University</t>
  </si>
  <si>
    <t>Bauer, T (corresponding author), Hong Kong Polytech Univ, Sch Hotel &amp; Tourism Management, Kowloon, Hong Kong, Peoples R China.</t>
  </si>
  <si>
    <t>10.1079/9781845932473.0188</t>
  </si>
  <si>
    <t>WOS:000293002400016</t>
  </si>
  <si>
    <t>Landau, D; Splettstoesser, J</t>
  </si>
  <si>
    <t>Landau, Denise; Splettstoesser, John</t>
  </si>
  <si>
    <t>Antarctic Tourism: What are the Limits?</t>
  </si>
  <si>
    <t>APTENODYTES-FORSTERI</t>
  </si>
  <si>
    <t>[Landau, Denise] Int Assoc Antarctica Tour Operators, Basalt, CO 81621 USA</t>
  </si>
  <si>
    <t>Landau, D (corresponding author), Int Assoc Antarctica Tour Operators, POB 2178, Basalt, CO 81621 USA.</t>
  </si>
  <si>
    <t>10.1079/9781845932473.0197</t>
  </si>
  <si>
    <t>WOS:000293002400017</t>
  </si>
  <si>
    <t>Stonehouse, B; Crosbie, K</t>
  </si>
  <si>
    <t>Stonehouse, Bernard; Crosbie, Kim</t>
  </si>
  <si>
    <t>Antarctic Tourism Research: the First Half-Century</t>
  </si>
  <si>
    <t>HUMAN DISTURBANCE; BREEDING SUCCESS; ADELIE PENGUINS; HEART-RATE; MANAGEMENT; ISLAND</t>
  </si>
  <si>
    <t>[Stonehouse, Bernard] Univ Cambridge, Scott Polar Res Inst, Cambridge CB2 1ER, England; [Crosbie, Kim] Int Assoc Antarctica Tour Operators, Basalt, CO 81621 USA</t>
  </si>
  <si>
    <t>10.1079/9781845932473.0210</t>
  </si>
  <si>
    <t>WOS:000293002400018</t>
  </si>
  <si>
    <t>Tracey, P</t>
  </si>
  <si>
    <t>Tracey, Phillip</t>
  </si>
  <si>
    <t>Tourism Management on the Southern Oceanic Islands</t>
  </si>
  <si>
    <t>Australian Govt Antarctic Div, Dept Environm &amp; Heritage, Hobart, Tas, Australia</t>
  </si>
  <si>
    <t>Tracey, P (corresponding author), Australian Govt Antarctic Div, Dept Environm &amp; Heritage, Hobart, Tas, Australia.</t>
  </si>
  <si>
    <t>10.1079/9781845932473.0263</t>
  </si>
  <si>
    <t>WOS:000293002400022</t>
  </si>
  <si>
    <t>Kim, MJ; Lee, YK; Lee, HK; Im, H</t>
  </si>
  <si>
    <t>Kim, Min-Jung; Lee, Yoo Kyung; Lee, Hong Kum; Im, Hana</t>
  </si>
  <si>
    <t>Characterization of cold-shock protein A of antarctic Streptomyces sp AA8321</t>
  </si>
  <si>
    <t>PROTEIN JOURNAL</t>
  </si>
  <si>
    <t>cell elongation; cold-shock protein; DNA binding protein; Streptomyces; replication inhibitor</t>
  </si>
  <si>
    <t>COMPLETE GENOME SEQUENCE; SOLUTION NMR STRUCTURE; ESCHERICHIA-COLI; CSPA FAMILY; BACILLUS-SUBTILIS; THERMOTOGA-MARITIMA; CRYSTAL-STRUCTURE; COELICOLOR A3(2); DOMAIN; DNA</t>
  </si>
  <si>
    <t>Polar organisms should have mechanisms to survive the extremely cold environment. Four genes encoding cold-shock proteins, which are small, cold-induced bacterial proteins, have been cloned from the Antarctic bacterium Streptomyces sp. AA8321. Since the specific functions of any polar bacterial or Streptomyces cold-shock proteins have not yet been determined, we examined the role of cold-shock protein A from Streptomyces sp. AA8321 (CspA(St)). Gel filtration chromatography showed that purified CspA(St) exists as a homodimer under physiological conditions, and gel shift assays showed that it binds to single-stranded, but not double-stranded, DNA. Overexpression of CspA(St) in Escherichia coli severely impaired the ability of the host cells to form colonies, and the cells developed an elongated morphology. Incorporation of a deoxynucleoside analogue, 5-bromo-2'-deoxyuridine, into newly synthesized DNA was also drastically diminished in CspA(St)-overexpressing cells. These results suggest that CspA(St) play a role in inhibition of DNA replication during cold-adaptation.</t>
  </si>
  <si>
    <t>Sejong Univ, Dept Mol Biol, Seoul 143747, South Korea; Korea Ocean Res &amp; Dev Inst, Natl Res Lab Marine Microbial Divers, Polar BioCtr, Korea Polar Res Inst,Korea Ocean Res &amp; Dev Inst, Inchon 406840, South Korea</t>
  </si>
  <si>
    <t>Sejong University; Korea Institute of Ocean Science &amp; Technology (KIOST); Korea Polar Research Institute (KOPRI)</t>
  </si>
  <si>
    <t>Im, H (corresponding author), Sejong Univ, Dept Mol Biol, 98 Gunja Dong, Seoul 143747, South Korea.</t>
  </si>
  <si>
    <t>hanaim@sejong.ac.kr</t>
  </si>
  <si>
    <t>1572-3887</t>
  </si>
  <si>
    <t>PROTEIN J</t>
  </si>
  <si>
    <t>Protein J.</t>
  </si>
  <si>
    <t>10.1007/s10930-006-9044-1</t>
  </si>
  <si>
    <t>Biochemistry &amp; Molecular Biology</t>
  </si>
  <si>
    <t>137QH</t>
  </si>
  <si>
    <t>WOS:000244306600006</t>
  </si>
  <si>
    <t>McCave, IN</t>
  </si>
  <si>
    <t>HillaireMarcel, C; DeVernal, A</t>
  </si>
  <si>
    <t>McCave, Ian Nicholas</t>
  </si>
  <si>
    <t>DEEP-SEA SEDIMENT DEPOSITS AND PROPERTIES CONTROLLED BY CURRENTS</t>
  </si>
  <si>
    <t>PROXIES IN LATE CENOZOIC PALEOCEANOGRAPHY</t>
  </si>
  <si>
    <t>Developments in Marine Geology</t>
  </si>
  <si>
    <t>TOTAL GEOSTROPHIC CIRCULATION; GLACIAL NORTH-ATLANTIC; LATE QUATERNARY SEDIMENTATION; ANTARCTIC BOTTOM WATER; GRAIN-SIZE ANALYSIS; LAST 200,000 YEARS; LATE PLEISTOCENE; CURRENT SPEED; CONTINENTAL-MARGIN; NEPHELOID LAYERS</t>
  </si>
  <si>
    <t>Univ Cambridge, Dept Earth Sci, Cambridge CB2 3EQ, England</t>
  </si>
  <si>
    <t>McCave, IN (corresponding author), Univ Cambridge, Dept Earth Sci, Cambridge CB2 3EQ, England.</t>
  </si>
  <si>
    <t>McCave, Nick N/G-7323-2016; McCave, I. Nick/O-3992-2018</t>
  </si>
  <si>
    <t>McCave, Nick N/0000-0002-4702-5489; McCave, I. Nick/0000-0002-4702-5489</t>
  </si>
  <si>
    <t>1572-5480</t>
  </si>
  <si>
    <t>978-0-08-052504-4; 978-0-44-452755-4</t>
  </si>
  <si>
    <t>DEV MARINE GEOL</t>
  </si>
  <si>
    <t>10.1016/S1572-5480(07)01006-8</t>
  </si>
  <si>
    <t>Geology; Oceanography</t>
  </si>
  <si>
    <t>BCQ50</t>
  </si>
  <si>
    <t>WOS:000311027900002</t>
  </si>
  <si>
    <t>Stoner, JS; St-Onge, G</t>
  </si>
  <si>
    <t>Stoner, Joseph S.; St-Onge, Guillaume</t>
  </si>
  <si>
    <t>MAGNETIC STRATIGRAPHY IN PALEOCEANOGRAPHY: REVERSALS, EXCURSIONS, PALEOINTENSITY, AND SECULAR VARIATION</t>
  </si>
  <si>
    <t>GEOMAGNETIC-FIELD INTENSITY; OCEAN DRILLING PROGRAM; DEEP-SEA SEDIMENTS; COSMOGENIC NUCLIDE PRODUCTION; WESTERN EQUATORIAL PACIFIC; MATUYAMA-BRUNHES BOUNDARY; PASS-THROUGH MAGNETOMETER; ANTARCTIC SOUTH ATLANTIC; POLARITY TIME-SCALE; NORTH-ATLANTIC</t>
  </si>
  <si>
    <t>[Stoner, Joseph S.] Oregon State Univ, COAS, Corvallis, OR 97331 USA; [St-Onge, Guillaume] Univ Quebec, Inst Sci Mer Rimouski ISMER, Rimouski, PQ G5L 3A1, Canada; [St-Onge, Guillaume] GEOTOP UQAM &amp; McGill, Montreal, PQ, Canada</t>
  </si>
  <si>
    <t>Oregon State University; University of Quebec; University of Quebec; University of Quebec Montreal</t>
  </si>
  <si>
    <t>Stoner, JS (corresponding author), Oregon State Univ, COAS, Corvallis, OR 97331 USA.</t>
  </si>
  <si>
    <t>St-Onge, Guillaume/E-4828-2014</t>
  </si>
  <si>
    <t>St-Onge, Guillaume/0000-0001-6958-4217</t>
  </si>
  <si>
    <t>10.1016/S1572-5480(07)01008-1</t>
  </si>
  <si>
    <t>WOS:000311027900004</t>
  </si>
  <si>
    <t>Jouzel, J; Stiévenard, M; Johnsen, SJ; Landais, A; Masson-Delmotte, V; Sveinbjornsdottir, A; Vimeux, F; von Grafenstein, U; White, JWC</t>
  </si>
  <si>
    <t>Jouzel, J.; Stievenard, M.; Johnsen, S. J.; Landais, A.; Masson-Delmotte, V.; Sveinbjornsdottir, A.; Vimeux, F.; von Grafenstein, U.; White, J. W. C.</t>
  </si>
  <si>
    <t>The GRIP deuterium-excess record</t>
  </si>
  <si>
    <t>QUATERNARY SCIENCE REVIEWS</t>
  </si>
  <si>
    <t>GREENLAND ICE-CORE; GENERAL-CIRCULATION MODEL; ABRUPT CLIMATE-CHANGE; TEMPERATURE-CHANGE; STABLE-ISOTOPES; PRECIPITATION SEASONALITY; EAST ANTARCTICA; OXYGEN-ISOTOPE; DELTA O-18; OCEAN</t>
  </si>
  <si>
    <t>Ice cores from Greenland and Antarctica are ideal archives for retrieving long time series of deuterium-excess (d = delta D-8 * delta O-18), a parameter influenced by conditions prevailing in the oceanic regions which provide moisture for polar snow. The central Greenland GRIP deuterium-excess record has recently been interpreted in terms of oceanic source temperatures both for the Holocene and for the last glacial period, this approach being less straightforward for the latter period because of changes in the precipitation seasonality between glacial and interglacial periods. This article examines why a conventional, or sea surface temperature, interpretation of the GRIP excess record seems inconsistent with inferred site and source temperature changes. In addition, the GRIP excess record is extended back into the penultimate glacial period and we assess its geographic significance through a comparison with existing Dye 3 and North GRIP data. We examine why low delta D/delta O-18 slopes observed during glacial times are associated with low deuterium-excess values. Similarities between the Greenland GRIP and Antarctic Vostok excess records are discussed in terms of potential links with insolation and insolation gradient changes. Finally, the isotope records in specific DO events are examined in light of intruiging differences between the isotope ratios (delta D or delta O-18) and the excess records that may result from a feedback mechanism linked with freshwater oceanic input. (c) 2006 Elsevier Ltd. All rights reserved.</t>
  </si>
  <si>
    <t>CEA, CNRS, UVSQ, IPSL,Lab Sci Climat &amp; Environm,CE Saclay, F-91191 Gif Sur Yvette, France; Univ Copenhagen, Dept Geophys, DK-2100 Copenhagen, Denmark; Univ Reykjavik, Inst Sci, IS-107 Reykjavik, Iceland; IRD, UR Greatice, Paris, France; Univ Colorado, Inst Aquat &amp; Alpine Res, Boulder, CO 80309 USA; Univ Colorado, Dept Geol Sci, Boulder, CO 80309 USA</t>
  </si>
  <si>
    <t>Universite Paris Cite; CEA; Centre National de la Recherche Scientifique (CNRS); Universite Paris Saclay; University of Copenhagen; University of Iceland; Institut de Recherche pour le Developpement (IRD); University of Colorado System; University of Colorado Boulder; University of Colorado System; University of Colorado Boulder</t>
  </si>
  <si>
    <t>Jouzel, J (corresponding author), CEA, CNRS, UVSQ, IPSL,Lab Sci Climat &amp; Environm,CE Saclay, F-91191 Gif Sur Yvette, France.</t>
  </si>
  <si>
    <t>jean.jouzel@cea.fr</t>
  </si>
  <si>
    <t>Masson-Delmotte, Valerie L/G-1995-2011; White, James W.C./A-7845-2009; von Grafenstein, Ulrich/F-6991-2010</t>
  </si>
  <si>
    <t>Masson-Delmotte, Valerie L/0000-0001-8296-381X; LANDAIS, Amaelle/0000-0002-5620-5465; von Grafenstein, Ulrich/0000-0002-3338-5627</t>
  </si>
  <si>
    <t>0277-3791</t>
  </si>
  <si>
    <t>QUATERNARY SCI REV</t>
  </si>
  <si>
    <t>Quat. Sci. Rev.</t>
  </si>
  <si>
    <t>10.1016/j.quascirev.2006.07.015</t>
  </si>
  <si>
    <t>133PM</t>
  </si>
  <si>
    <t>WOS:000244024800001</t>
  </si>
  <si>
    <t>Thomas, ER; Wolff, EW; Mulvaney, R; Steffensen, JP; Johnsen, SJ; Arrowsmith, C; White, JWC; Vaughn, B; Popp, T</t>
  </si>
  <si>
    <t>Thomas, Elizabeth R.; Wolff, Eric W.; Mulvaney, Robert; Steffensen, Jorgen P.; Johnsen, Sigfus J.; Arrowsmith, Carol; White, James W. C.; Vaughn, Bruce; Popp, Trevor</t>
  </si>
  <si>
    <t>The 8.2 ka event from Greenland ice cores</t>
  </si>
  <si>
    <t>ABRUPT CLIMATE-CHANGE; COLD EVENT; BP EVENT; CATASTROPHIC DRAINAGE; NORTH-ATLANTIC; HOLOCENE; SUMMIT; DUST; DEGLACIATION; INSTABILITY</t>
  </si>
  <si>
    <t>We present a collection of high-resolution chemistry and stable isotope records from the plateau of the Greenland ice cap during the cold event 8200 yr ago. Using a composite of four records, the cold event is observed as a 160.5 yr period during which decadal-mean isotopic values were below average, within which there is a central event of 69 yr during which values were consistently more than one standard deviation below the average for the preceding period. Four cores in north, south, and central Greenland show differences at decadal and shorter timescales; it is not yet clear if this represents significant spatial differences in response. The results show clear evidence for colder temperatures and a decrease in snow-accumulation rate. However, the changes in chemical concentrations for the ions looked at here are small, suggesting only minor changes in atmospheric circulation for this event. Apart from the decrease in methane concentration, Greenland ice cores give only weak evidence for effects outside the North Atlantic region. (c) 2006 Elsevier Ltd. All rights reserved.</t>
  </si>
  <si>
    <t>British Antarctic Survey, NERC, Cambridge CB3 0ET, England; Univ Copenhagen, Niels Bohr Inst Astron Phys &amp; Geophys, Dept Geophys, DK-2100 Copenhagen, Denmark; British Geol Survey, NERC, Isotope Geosci Lab, Kingsley Dunham Ctr, Keyworth NG12 5GG, Notts, England; Inst Arctic &amp; Alpine Res, Boulder, CO USA; Univ Colorado, Dept Geol Sci, Boulder, CO 80309 USA; Univ Colorado, Environm Studies Program, Boulder, CO 80309 USA</t>
  </si>
  <si>
    <t>UK Research &amp; Innovation (UKRI); Natural Environment Research Council (NERC); NERC British Antarctic Survey; University of Copenhagen; Niels Bohr Institute; UK Research &amp; Innovation (UKRI); Natural Environment Research Council (NERC); NERC British Geological Survey; University of Colorado System; University of Colorado Boulder; University of Colorado System; University of Colorado Boulder</t>
  </si>
  <si>
    <t>Thomas, ER (corresponding author), British Antarctic Survey, NERC, High Cross,Madingley Rd, Cambridge CB3 0ET, England.</t>
  </si>
  <si>
    <t>lith@bas.ac.uk</t>
  </si>
  <si>
    <t>Vaughn, Bruce/AAO-8867-2020; Thomas, Elizabeth Ruth/ADF-3660-2022; Steffensen, Jorgen Peder/JFS-7831-2023; Wolff, Eric W/D-7925-2014; White, James W.C./A-7845-2009; Mulvaney, Robert/K-3929-2012</t>
  </si>
  <si>
    <t>Thomas, Elizabeth Ruth/0000-0002-3010-6493; Steffensen, Jorgen Peder/0000-0002-5516-1093; Wolff, Eric W/0000-0002-5914-8531; VAUGHN, BRUCE/0000-0001-6503-957X; Mulvaney, Robert/0000-0002-5372-8148; Arrowsmith, Carol/0000-0003-3849-5179</t>
  </si>
  <si>
    <t>NERC [nigl010001, bas010016] Funding Source: UKRI; Natural Environment Research Council [bas010016, nigl010001, NER/T/S/2002/00430] Funding Source: researchfish</t>
  </si>
  <si>
    <t>10.1016/j.quascirev.2006.07.017</t>
  </si>
  <si>
    <t>WOS:000244024800005</t>
  </si>
  <si>
    <t>Muscheler, R; Joos, F; Beer, J; Müller, SA; Vonmoos, M; Snowball, I</t>
  </si>
  <si>
    <t>Muscheler, Raimund; Joos, Fortunat; Beer, Juerg; Mueller, Simon A.; Vonmoos, Maura; Snowball, Ian</t>
  </si>
  <si>
    <t>Solar activity during the last 1000 yr inferred from radionuclide records</t>
  </si>
  <si>
    <t>COSMOGENIC NUCLIDE PRODUCTION; RADIOCARBON AGE CALIBRATION; COSMIC-RAY MODULATION; ICE CORE; ATMOSPHERIC CO2; CARBON-CYCLE; POLAR ICE; TERRESTRIAL; BE-10; MODEL</t>
  </si>
  <si>
    <t>Identification of the causes of past climate change requires detailed knowledge of one of the most important natural factors-solar forcing. Prior to the period of direct solar observations, radionuclide abundances in natural archives provide the best-known proxies for changes in solar activity. Here we present two independent reconstructions of changes in solar activity during the last 1000 yr, which are inferred from Be-10 and C-14 records. We analyse the tree-ring C-14 data (SHCal, IntCa104 from 1000 to 1510 AD and annual data from 1511 to 1950 AD) and four Be-10 records from Greenland ice cores (Camp Century, GRIP, Milcent and Dye3) together with two Be-10 records from Antarctic ice cores (Dome Concordia and South Pole). In general, the Be-10 and C-14 records exhibit good agreement that allows us to obtain reliable estimates of past solar magnetic modulation of the radionuclide production rates. Differences between Be-10 records from Antarctica and Greenland indicate that climatic changes have influenced the deposition of Be-10 during some periods of the last 1000 yr. The radionuclide-based reconstructions of past changes in solar activity do not always agree with the sunspot record, which indicates that the coupling between those proxies is not as close as has been sometimes assumed. The tree-ring C-14 record and Be-10 from Antarctica indicate that recent solar activity is high but not exceptional with respect to the last 1000 yr. (c) 2006 Elsevier Ltd. All rights reserved.</t>
  </si>
  <si>
    <t>NASA, Goddard Space Flight Ctr, Climate &amp; Radiat Branch, Greenbelt, MD 20771 USA; Univ Bern, Inst Phys, CH-3012 Bern, Switzerland; Swiss Fed Inst Aquat Sci &amp; Technol, EAWAG, CH-8600 Dubendorf, Switzerland; Lund Univ, Geobiosphere Sci Ctr, S-22362 Lund, Sweden</t>
  </si>
  <si>
    <t>National Aeronautics &amp; Space Administration (NASA); NASA Goddard Space Flight Center; University of Bern; Swiss Federal Institutes of Technology Domain; Swiss Federal Institute of Aquatic Science &amp; Technology (EAWAG); Lund University</t>
  </si>
  <si>
    <t>Muscheler, R (corresponding author), NASA, Goddard Space Flight Ctr, Climate &amp; Radiat Branch, Mail Code 613-3,Bldg 33,Room C327, Greenbelt, MD 20771 USA.</t>
  </si>
  <si>
    <t>raimund@climate.gsfc.nasa.gov; joos@climate.unibe.ch; beer@eawag.ch; smueller@climate.unibe.ch; maura.vonmoos@eawag.ch; lan.Snowball@geol.lu.se</t>
  </si>
  <si>
    <t>Joos, Fortunat/B-4118-2018</t>
  </si>
  <si>
    <t>Joos, Fortunat/0000-0002-9483-6030; Muscheler, Raimund/0000-0003-2772-3631; Snowball, Ian/0000-0002-6257-3088</t>
  </si>
  <si>
    <t>10.1016/j.quascirev.2006.07.012</t>
  </si>
  <si>
    <t>WOS:000244024800006</t>
  </si>
  <si>
    <t>Robinson, RS; Mix, A; Martinez, P</t>
  </si>
  <si>
    <t>Robinson, Rebecca S.; Mix, Alan; Martinez, Philippe</t>
  </si>
  <si>
    <t>Southern Ocean control on the extent of denitrification in the southeast Pacific over the last 70 ka</t>
  </si>
  <si>
    <t>ARABIAN SEA DENITRIFICATION; EASTERN EQUATORIAL PACIFIC; ATMOSPHERIC CO2; ORGANIC-CARBON; CLIMATE-CHANGE; NORTH PACIFIC; ODP SITE-1233; ICE-SHEET; NITROGEN; CHILE</t>
  </si>
  <si>
    <t>Temporal changes in oceanic denitrification, the bacterial reduction of nitrate under suboxic conditions, highlight the potential importance of N inventory changes and the production of N2O on the climate system. At the same time, the cause of the globally observed variation in denitrification remains unclear. High-resolution benthic foraminiferal oxygen isotope and bulk sediment nitrogen isotope records from ODP Site 1234 on the Chile Margin record integrated denitrification changes within the Peru-Chile Upwelling system over the last similar to 70 ka. Denitrification changes in the southeast Pacific are coherent with Antarctic climate changes recorded by the Byrd ice core delta O-18 record, and lead northern hemisphere climate events. The southern-hemisphere character of the Chile margin delta N-15 record suggests that episodes of reduced denitrification in the SE Pacific represent times when more oxygen was supplied as the result of changes in the ventilation and preformed nutrient content of Subantarctic Mode Water (SAMW), which forms in the Subantarctic zone of the Southern Ocean and feeds into the low-latitude thermocline. (c) 2006 Elsevier Ltd. All rights reserved.</t>
  </si>
  <si>
    <t>Princeton Univ, Dept Geosci, Princeton, NJ 08544 USA; Princeton Univ, Inst Environm, Princeton, NJ 08544 USA; Oregon State Univ, Coll Ocean &amp; Atmospher Sci, Corvallis, OR 97331 USA; Univ Bordeaux 1, CNRS, UMR 5805, EPOC,Dept Geol &amp; Oceanog, F-33405 Talence, France</t>
  </si>
  <si>
    <t>Princeton University; Princeton University; Oregon State University; Universite de Bordeaux; Centre National de la Recherche Scientifique (CNRS); CNRS - National Institute for Earth Sciences &amp; Astronomy (INSU)</t>
  </si>
  <si>
    <t>Robinson, RS (corresponding author), Univ Rhode Isl, Grad Sch Oceanog, Narragansett Bay Campus, Narragansett, RI 02882 USA.</t>
  </si>
  <si>
    <t>rebeccar@gso.uri.edu</t>
  </si>
  <si>
    <t>Martinez, Philippe/0000-0002-9825-2032; Robinson, Rebecca/0000-0002-8072-1603</t>
  </si>
  <si>
    <t>10.1016/j.quascirev.2006.08.005</t>
  </si>
  <si>
    <t>WOS:000244024800014</t>
  </si>
  <si>
    <t>Roberts, SJ; Sigurvinsson, JR; Westgate, JA; Sandhu, A</t>
  </si>
  <si>
    <t>Roberts, Stephen J.; Sigurvinsson, Jon R.; Westgate, John A.; Sandhu, Amanjit</t>
  </si>
  <si>
    <t>Late Pliocene glaciation and landscape evolution of Vestfiroir, Northwest Iceland</t>
  </si>
  <si>
    <t>MAXIMUM ICE-SHEET; TEPHRA HORIZONS; GLASS SHARDS; VEDDE ASH; AGES; ATLANTIC; HISTORY; EROSION; CLIMATE; SURFACE</t>
  </si>
  <si>
    <t>Vestfiroir, Northwest Iceland, has been extensively modified by glacial activity, but the timing and landscape impact of pre-Last Glacial Maximum (LGM) glacial activity is not well known. We present new geochemical and chronological data from two tephras, Opoli and Hjallanes, which constrain the age of high altitude ice-dammed lake sediments near the plateau surface of Skagafjall, located on the outer westernmost fjords of Vestfiroir. Our findings provide the first dated evidence of Late Pliocene glaciation on Vestfiroir. The 2.26 +/- 0.11 Ma fission-track age of the airfall rhyolitic Opoli tephra is compatible with reversed palaeomagnetic polarity data and suggests an ice-dammed lake existed on Skagafjall at broadly the same time as a major and well-documented Late Pliocene downturn in global climate. We assess the likely impact of Late Pliocene and subsequent glacial activity on Vestfiroir landscapes and propose that: (1) geomorphological features and sedimentary deposits on or near the Skagafjall plateau surface could have survived beneath relatively low basal velocity areas and/or relatively non-erosive areas of glacial maxima ice sheets on Vestfiroir at glacial maxima, and (2) the heavily incised fjord network, the principal macroscale landscape feature of Vestfiroir, existed in the Late Pliocene. (c) 2006 Elsevier Ltd. All rights reserved.</t>
  </si>
  <si>
    <t>Univ Edinburgh, Sch Geosci, Edinburgh EH8 9XP, Midlothian, Scotland; Framhaldsskoli Vestfjaroa, IS-400 Isafjorour, Iceland; Univ Toronto, Dept Geol, Toronto, ON M5S 3B1, Canada</t>
  </si>
  <si>
    <t>University of Edinburgh; University of Toronto</t>
  </si>
  <si>
    <t>Roberts, SJ (corresponding author), British Antarctic Survey, High Cross,Madingley Rd, Cambridge CB3 0ET, England.</t>
  </si>
  <si>
    <t>SJRO@bas.ac.uk</t>
  </si>
  <si>
    <t>Roberts, Stephen/0000-0003-3407-9127</t>
  </si>
  <si>
    <t>10.1016/j.quascirev.2006.09.004</t>
  </si>
  <si>
    <t>WOS:000244024800017</t>
  </si>
  <si>
    <t>Bickel, DL; Sander, GJ</t>
  </si>
  <si>
    <t>Kurtz, JL; Tan, RJ</t>
  </si>
  <si>
    <t>Bickel, Douglas L.; Sander, Grant J.</t>
  </si>
  <si>
    <t>Results from an X-band synthetic aperture radar collection in antarctica</t>
  </si>
  <si>
    <t>RADAR SENSOR TECHNOLOGY XI</t>
  </si>
  <si>
    <t>Conference on Radar Sensor Technology XI</t>
  </si>
  <si>
    <t>APR 12-13, 2007</t>
  </si>
  <si>
    <t>Orlando, FL</t>
  </si>
  <si>
    <t>MiniSAR; X-band; antarctica</t>
  </si>
  <si>
    <t>In January, 2006, the New York Air National Guard requested that Sandia National Laboratories develop an X-band synthetic aperture radar to use for an experiment to detect crevasses in Antarctica. Sandia provided a MiniSAR radar that was modified to operate at X-band. Data was collected with this system in the Antarctic summer of 2006. The results from this data collection are presented in this paper.</t>
  </si>
  <si>
    <t>[Bickel, Douglas L.; Sander, Grant J.] Sandia Natl Labs, 1515 Eubank Blvd SE, Albuquerque, NM 87185 USA</t>
  </si>
  <si>
    <t>United States Department of Energy (DOE); Sandia National Laboratories</t>
  </si>
  <si>
    <t>Bickel, DL (corresponding author), Sandia Natl Labs, 1515 Eubank Blvd SE, Albuquerque, NM 87185 USA.</t>
  </si>
  <si>
    <t>Air National Guard; National Science Foundation's United States Antarctic Program; United States Department of Energy [DE-AC04-94AL85000]</t>
  </si>
  <si>
    <t>Air National Guard; National Science Foundation's United States Antarctic Program; United States Department of Energy(United States Department of Energy (DOE))</t>
  </si>
  <si>
    <t>This work was funded by the Air National Guard, who will be the primary beneficiary of this work Support from the National Science Foundations United States Antarctic Program for execution of the test. Raytheon Polar Services Corporation for support in helping to define and execute the Technical Event (T-event). Kenn Borek Air, Ltd., for aid in building a mounting structure and certification as well as flight test support of the radar installation aboard one of their Twin Otters operated for NSF. The advisory and ground support by Mark Sletten from the Naval Research Laboratory was also greatly appreciated Sandia is a multiprogram laboratory operated by Sandia Corporation, a Lockheed Martin Company, for the United States Department of Energy under contract DE-AC04-94AL85000.</t>
  </si>
  <si>
    <t>978-0-8194-6669-3</t>
  </si>
  <si>
    <t>10.1117/12.720539</t>
  </si>
  <si>
    <t>BGL45</t>
  </si>
  <si>
    <t>WOS:000248194500003</t>
  </si>
  <si>
    <t>Ikeda, M; Yamaguchi, H; Shoutilin, S</t>
  </si>
  <si>
    <t>Yue, QJ; Ji, SY</t>
  </si>
  <si>
    <t>Ikeda, M.; Yamaguchi, H.; Shoutilin, S.</t>
  </si>
  <si>
    <t>Coordinated modelling-observational approach for change in the arctic seas</t>
  </si>
  <si>
    <t>RECENT DEVELOPMENT OF OFFSHORE ENGINEERING IN COLD REGIONS, VOLS 1 AND 2, PROCEEDINGS</t>
  </si>
  <si>
    <t>19th International Conference on Port and Ocean Engineering Under Arctic Conditions (POAC 2007)</t>
  </si>
  <si>
    <t>JUN 27-30, 2007</t>
  </si>
  <si>
    <t>Dalian Univ Technol, Dalian, PEOPLES R CHINA</t>
  </si>
  <si>
    <t>Dalian Univ Technol</t>
  </si>
  <si>
    <t>ICE COVER</t>
  </si>
  <si>
    <t>The sea ice cover in the Arctic Ocean has declined in the last 40 years and reaches the extreme condition, while its decadal variability has increased. The Polar Vortex has more significant decadal oscillations than the trend. The recently archived data extending from clouds, the atmospheric boundary layer to biogeochemical components in the Arctic Ocean show Arctic environmental change. The preliminary results include the following signal: the cloud cover has increased and is estimated to contribute to the ice reduction through the radiation balance. The biogeochemical data indicate ocean interior responses to the Arctic Oscillation. The sea level height in the Bering Sea shows an increasing trend and contributes to inflow of the Pacific Water into the Arctic Basin. Coupled ice-ocean models are used for simulating the signals in the Arctic seas, and in turn verified in comparison with the data. The models well duplicate the ice cover and ocean variability in the Arctic Ocean. The ice reduction in 1990s is suggested to occur as a consequence of a reduction in ridged ice and might recover in the next 10 years. Both modeling and observational approaches should be coordinated so that more reliable tools may be provided for predicting future change in the Arctic region. An attempt is made to couple the ice-ocean models with an atmospheric model to provide a basis for the trend and a future prediction.</t>
  </si>
  <si>
    <t>[Ikeda, M.; Yamaguchi, H.] Hokkaido Univ, Sapporo, Hokkaido, Japan; [Shoutilin, S.] Arctic &amp; Antarctic Res Inst, St Petersburg, Russia</t>
  </si>
  <si>
    <t>Hokkaido University; Arctic &amp; Antarctic Research Institute</t>
  </si>
  <si>
    <t>Ikeda, M (corresponding author), Hokkaido Univ, Sapporo, Hokkaido, Japan.</t>
  </si>
  <si>
    <t>Japanese Ministry of Education, Culture, Sports, Science and Technology</t>
  </si>
  <si>
    <t>Japanese Ministry of Education, Culture, Sports, Science and Technology(Ministry of Education, Culture, Sports, Science and Technology, Japan (MEXT))</t>
  </si>
  <si>
    <t>The work presented in this paper was financially supported by the Japanese Ministry of Education, Culture, Sports, Science and Technology.</t>
  </si>
  <si>
    <t>DALIAN UNIV TECHNOL PRESS</t>
  </si>
  <si>
    <t>DALIAN</t>
  </si>
  <si>
    <t>2 LINGGONG RD, DALIAN 116024, PEOPLES R CHINA</t>
  </si>
  <si>
    <t>978-7-5611-3631-7</t>
  </si>
  <si>
    <t>Engineering, Marine; Engineering, Ocean; Engineering, Mechanical; Mechanics</t>
  </si>
  <si>
    <t>Engineering; Mechanics</t>
  </si>
  <si>
    <t>BGL98</t>
  </si>
  <si>
    <t>WOS:000248256100002</t>
  </si>
  <si>
    <t>Lei, RB; Li, ZJ; Zhang, ZH; Chen, YF; Dou, YK</t>
  </si>
  <si>
    <t>Ruibo Lei; Zhijun Li; Zhanhai Zhang; Yanfeng Chen; Yinke Dou</t>
  </si>
  <si>
    <t>Physical characteristics of fast ice off Zhongshan station during austral summer</t>
  </si>
  <si>
    <t>ANTARCTIC SEA-ICE</t>
  </si>
  <si>
    <t>Fast ice off Zhongshan Station has been systemically investigated in 2005 and 2006. Base on the sufficient field datum acquired from later November, 2005 to later January, 2006 in this program, physical characteristics of fast ice off Zhongshan Station in melting period have been analyzed in more detail. Some result has been got: fast ice in this area starts to melt in later November, and the melting period is 62 days; sea ice temperature will rise gradually in melting period, and the relative cold mid-layer in ice will appear; sea ice freezing process and melting process is irreversible; fast ice salinity and density will decline evidently; surface sea water will be desalted also.</t>
  </si>
  <si>
    <t>[Ruibo Lei] Dalian Univ Technol, Dalian 116024, Peoples R China; [Zhijun Li; Zhanhai Zhang; Yanfeng Chen] Polar Res Inst China, Shanghai 200129, Peoples R China; [Yinke Dou] Taiyuan Univ Technol, Taiyuan 030024, Peoples R China</t>
  </si>
  <si>
    <t>Dalian University of Technology; Polar Research Institute of China; Taiyuan University of Technology</t>
  </si>
  <si>
    <t>Lei, RB (corresponding author), Dalian Univ Technol, Dalian 116024, Peoples R China.</t>
  </si>
  <si>
    <t>Li, Zhijun/A-5299-2019; Chen, Yanfeng/JHU-9469-2023</t>
  </si>
  <si>
    <t>Li, Zhijun/0000-0002-2897-0450;</t>
  </si>
  <si>
    <t>National Natural Science Foundation of China [46076001, 460233021]</t>
  </si>
  <si>
    <t>National Natural Science Foundation of China(National Natural Science Foundation of China (NSFC))</t>
  </si>
  <si>
    <t>This study was supported by the National Natural Science Foundation of China under contract No. 46076001 and No.460233021. We are grateful to all Winters in the 21st CHINARE, especially to Mr. Wei Wenliang, who was the leader in the 22nd CHINARE, and to Mr. Dong Li, who was the leader ofZhongshan Station in the 22nd CHINARE, for their field work support. And we are grateful to the Zhongshan Meteorological Office for providing the meteorological data.</t>
  </si>
  <si>
    <t>WOS:000248256100036</t>
  </si>
  <si>
    <t>Kharitonov, VV</t>
  </si>
  <si>
    <t>Kharitonov, Victor V.</t>
  </si>
  <si>
    <t>Estimate of vertical distribution of ice presence probability within ice ridge keel by thermaldrilling data</t>
  </si>
  <si>
    <t>Recent Development of Offshore Engineering in Cold Regions, Vols 1 and 2, Proceedings</t>
  </si>
  <si>
    <t>The AARI carries out the expedition studies aimed to determining the morphometric characteristics of ice ridges and stamukhas by thermal drilling methods with computer recording of the penetration rate. The penetration rate record at every point of drilling can be realized as the staircase curve, where zero corresponds to voids, and one corresponds to ice. Averaging these curves for all boreholes, one can obtain the estimation of probability distribution of ice presence for investigation area. The paper gives the preliminary results of studying the probability distribution of ice presence in the ice ridge keel at different depth. This distribution is quite similar to lognormal distribution.</t>
  </si>
  <si>
    <t>Kharitonov, VV (corresponding author), Arctic &amp; Antarctic Res Inst, St Petersburg 199226, Russia.</t>
  </si>
  <si>
    <t>Kharitonov, Victor/0000-0003-1847-9980</t>
  </si>
  <si>
    <t>WOS:000248256100046</t>
  </si>
  <si>
    <t>Kharitonov, VV; Morev, VA</t>
  </si>
  <si>
    <t>Kharitonov, Victor V.; Morev, Valentin A.</t>
  </si>
  <si>
    <t>Methodological basis of estimating the mean thickness of the consolidated layer of ice ridges and stamukhas from the disrtibution of solid phase volumetric content in sea ice</t>
  </si>
  <si>
    <t>The penetration rate record during electrical and hot water thermal drilling of ice ridges and stamukhas allows obtaining the information about their internal structure. The penetration rate is inversely proportional to the volumetric content of ice solid phase. The dependence of inverse rate versus depth is, in fact, the distribution of solid phase volumetric content versus depth. By averaging these distributions for all boreholes, it is possible to obtain the average distribution of the volumetric content of the solid phase versus depth for the area investigated. The paper describes the method which allows estimating the mean thickness of the consolidated layer of ice ridges and stamukhas, by this distribution. The condition of validity of this estimation is given. The examples of application of such method are presented. The. difference between the consolidated layer mean thickness determined by this method and thickness determined by the location of hard ice, soft ice and void zones is less than 5%.</t>
  </si>
  <si>
    <t>[Kharitonov, Victor V.; Morev, Valentin A.] Arctic &amp; Antarctic Res Inst, St Petersburg, Russia</t>
  </si>
  <si>
    <t>Kharitonov, VV (corresponding author), Arctic &amp; Antarctic Res Inst, St Petersburg, Russia.</t>
  </si>
  <si>
    <t>WOS:000248256100047</t>
  </si>
  <si>
    <t>Zubakin, GK; Gudoshnikov, YP; Naumov, AK; Glazovsky, AF; Kubyshkin, NV; Buzin, IV; Borodulin, VV; Skutina, EA</t>
  </si>
  <si>
    <t>Zubakin, G. K.; Gudoshnikov, Yu. P.; Naumov, A. K.; Glazovsky, A. F.; Kubyshkin, N. V.; Buzin, I. V.; Borodulin, V. V.; Skutina, E. A.</t>
  </si>
  <si>
    <t>Results of investigations of icebergs, glaciers and their frontal zones in the Northeastern part of the Barents sea</t>
  </si>
  <si>
    <t>The State Institution &lt;&lt; Arctic and Antarctic Research Institute &gt;&gt; (SI &lt;&lt; AARI &gt;&gt; St. Petersburg) conducted a number of marine ice research expeditions in 2001-2006 in the framework of engineering surveys in the region Shtockman Gas-Condensate Field (ShGCF) in the northeastern part of the Barents Sea. One of the main objects of investigations were icebergs being very hazardous for marine hydro-technical structures, and particularly for drilling platforms that, it is expected, will be installed in the nearest future in the region of the SGCF and other oil-and-gas structures in the Barents Sea. Information about calving glaciers is essential for reliable forecast of icebergs discharge into the SGCF area. Due to this, special attention was paid to the investigation of outlet glaciers situated in the Northeastern Barents Sea.</t>
  </si>
  <si>
    <t>[Zubakin, G. K.; Gudoshnikov, Yu. P.; Naumov, A. K.; Kubyshkin, N. V.; Buzin, I. V.; Skutina, E. A.] Arctic &amp; Antarctic Res Inst, State Inst, St Petersburg, Russia; [Glazovsky, A. F.] Russian Acad Sci, Inst Geog, Moscow, Russia; [Borodulin, V. V.] State Hydrol Inst, St Petersburg, Russia</t>
  </si>
  <si>
    <t>Arctic &amp; Antarctic Research Institute; Russian Academy of Sciences; Institute of Geography, Russian Academy of Sciences</t>
  </si>
  <si>
    <t>Zubakin, GK (corresponding author), Arctic &amp; Antarctic Res Inst, State Inst, St Petersburg, Russia.</t>
  </si>
  <si>
    <t>Naumov, Alexander Kondratevich/A-1581-2014; Glazovsky, Andrey/G-9060-2011</t>
  </si>
  <si>
    <t>Glazovsky, Andrey/0000-0001-6275-7517</t>
  </si>
  <si>
    <t>RFFI [05-05-64732]</t>
  </si>
  <si>
    <t>RFFI(Russian Foundation for Basic Research (RFBR))</t>
  </si>
  <si>
    <t>The study was made with the support of the RFFI grant No. 05-05-64732.</t>
  </si>
  <si>
    <t>WOS:000248256100051</t>
  </si>
  <si>
    <t>Bogorodsky, PV; Marchenko, AV; Pnyushkov, AV</t>
  </si>
  <si>
    <t>Bogorodsky, P. V.; Marchenko, A. V.; Pnyushkov, A. V.</t>
  </si>
  <si>
    <t>Experimental and theoretical investigation of surface melt ponds freezing process</t>
  </si>
  <si>
    <t>ARCTIC SEA-ICE; SUMMER</t>
  </si>
  <si>
    <t>The results of melt ponds topography, salinity and temperature measuring performed in the July-September 2005 RN Akademik Fedorov cruise to the North Pole are presented. The I-D conceptual model of melt pond freezing has been formulated on these field observations. The model with three unknown moving boundaries is based on the classical Stefan problem and considers the accumulation of salt in the meltwater due to ice growth. The meltwater layer is never solidified completely due to increasing salinity which represents a qualitative element of the system. The difference between the growth of sea ice without and with melt ponds can reach several tens centimeters depending on initial meltwater salinity and depth. The process of melt pools freezing is supposed to be an important factor of multiyear sea ice bottom. roughness.</t>
  </si>
  <si>
    <t>[Bogorodsky, P. V.; Marchenko, A. V.; Pnyushkov, A. V.] Arctic &amp; Antarctic Res Inst, St Petersburg, Russia; [Marchenko, A. V.] RAS, AM Prokhorov Inst Gen Phys, Moscow, Russia; [Marchenko, A. V.] Univ Ctr Svalbard, Longyearbyen, Norway</t>
  </si>
  <si>
    <t>Arctic &amp; Antarctic Research Institute; Russian Academy of Sciences; Prokhorov General Physics Institute of the Russian Academy of Sciences; University Centre Svalbard (UNIS)</t>
  </si>
  <si>
    <t>Bogorodsky, PV (corresponding author), Arctic &amp; Antarctic Res Inst, St Petersburg, Russia.</t>
  </si>
  <si>
    <t>Marchenko, Aleksey/GSD-3516-2022; Pnyushkov, Andrey/M-3156-2019</t>
  </si>
  <si>
    <t>Marchenko, Aleksey/0000-0003-4169-0063; Pnyushkov, Andrey/0000-0001-9112-6458</t>
  </si>
  <si>
    <t>RFBR [05-05-64442]</t>
  </si>
  <si>
    <t>RFBR(Russian Foundation for Basic Research (RFBR))</t>
  </si>
  <si>
    <t>This study was supported by RFBR (project #05-05-64442).</t>
  </si>
  <si>
    <t>WOS:000248256100052</t>
  </si>
  <si>
    <t>Wei, L; Feng, EM; Hong, B; Lei, RB</t>
  </si>
  <si>
    <t>Wei, Lv; Feng, Enmin; Hong, Bao; Lei, Ruibo</t>
  </si>
  <si>
    <t>Parameter identification for a nonlinear thermodynamic system of antarctic sea ice</t>
  </si>
  <si>
    <t>HEAT-CONDUCTION PROBLEM; INVERSE SOURCE PROBLEM; THERMAL-CONDUCTIVITY; MODEL; GROWTH; EQUATION</t>
  </si>
  <si>
    <t>In this paper, we investigate an identification problem for two thermodynamic parameters in a nonlinear and non-smooth thermodynamic system of Antarctic sea ice and present a novel optimization algorithm. Firstly, we present the existence and uniqueness of solution; Secondly, taking the thermodynamic parameters of sea ice as the control variable and the errors between the sea ice temperatures calculated by the system and the observed data as the performance criterion, we establish a parameter identification model, give the dependency relationship between the state and control variables, and discuss the existence of the optimal parameter. Finally, a feasible optimization algorithm combining modified Hooke-Jeeves method with the uniform design method and the semi-implicit finite difference scheme is constructed. Numerical results indicate that the optimization algorithm is valid.</t>
  </si>
  <si>
    <t>[Wei, Lv; Feng, Enmin; Lei, Ruibo] Dalian Univ Technol, Dalian, Peoples R China; [Hong, Bao] Liaoning Univ Tradit Chinese Med, Shenyang, Liaoning, Peoples R China</t>
  </si>
  <si>
    <t>Dalian University of Technology; Liaoning University of Traditional Chinese Medicine</t>
  </si>
  <si>
    <t>Wei, L (corresponding author), Dalian Univ Technol, Dalian, Peoples R China.</t>
  </si>
  <si>
    <t>National Natural Science Foundation China [10471014, 40676001, 40233032]</t>
  </si>
  <si>
    <t>National Natural Science Foundation China(National Natural Science Foundation of China (NSFC))</t>
  </si>
  <si>
    <t>This work was supported by the National Natural Science Foundation China under Grant No.10471014, No.40676001 and No.40233032.</t>
  </si>
  <si>
    <t>WOS:000248256100054</t>
  </si>
  <si>
    <t>Gorbatsky, VV; Marchenko, AY</t>
  </si>
  <si>
    <t>Gorbatsky, V. V.; Marchenko, A. Y.</t>
  </si>
  <si>
    <t>On the influence of turbulence in ice adjacent layer on water-ice drag forces and heat fluxes, in the Barents sea</t>
  </si>
  <si>
    <t>Ice bottom roughness and the level of turbulence in ice adjacent water layers both determine the intense of momentum transfer from the water to the ice. The roughness of sea ice surfaces is reduced due to the melting and created due to the buildup of ice ridges, while the level of turbulence in ice adjacent water layers depends on sea currents stability and the roughness of ice bottom. This paper is devoted to the study of natural variability of water-ice drag coefficients in the Barents Sea by the analysis of field data collected in the expeditions by research vessel Mikhail Somov in 2004 similar to 2006. We also estimate heat fluxes to ice bottom and inside ice ridge keels.</t>
  </si>
  <si>
    <t>[Gorbatsky, V. V.] Krylov Ship Bldg Res Inst, St Petersburg, Russia; [Marchenko, A. Y.] Arctic &amp; Antarctic Res Inst, St Petersburg, Russia; [Marchenko, A. Y.] Univ Ctr Svalbard, Longyearbyen, Norway</t>
  </si>
  <si>
    <t>Arctic &amp; Antarctic Research Institute; University Centre Svalbard (UNIS)</t>
  </si>
  <si>
    <t>Gorbatsky, VV (corresponding author), Krylov Ship Bldg Res Inst, St Petersburg, Russia.</t>
  </si>
  <si>
    <t>Marchenko, Aleksey/GSD-3516-2022</t>
  </si>
  <si>
    <t>Marchenko, Aleksey/0000-0003-4169-0063</t>
  </si>
  <si>
    <t>This study was supported by RFBR (project #05-05-64442). We would like to thank Prof. Gennadii Zubakin and Dr. Yuri Gudoshnikov for the help during fieldworks.</t>
  </si>
  <si>
    <t>WOS:000248256100060</t>
  </si>
  <si>
    <t>Fernandez-Saldivar, JA; Underwood, CI; Mackin, S</t>
  </si>
  <si>
    <t>Comeron, A; Picard, RH; Schafer, KS; Slusser, JR; Amodeo, A</t>
  </si>
  <si>
    <t>Fernandez-Saldivar, J. A.; Underwood, C. I.; Mackin, S.</t>
  </si>
  <si>
    <t>Ozone depletion in the Austral spring from UV microsatellite instrument</t>
  </si>
  <si>
    <t>REMOTE SENSING OF CLOUDS AND THE ATMOSPHERE XII</t>
  </si>
  <si>
    <t>Conference on Remote Sensing of Clouds and the Atmosphere XII</t>
  </si>
  <si>
    <t>UV; ozone monitoring; ozone depletion; micro-satellites</t>
  </si>
  <si>
    <t>The Ozone Mapping Detector (OMAD) on board FASat-Bravo micro-satellite observed backscattered UV radiation to retrieve atmospheric ozone with low-spatial-resolution (150 x 150 km). This relatively coarse resolution with continuous global coverage allowed the observation of the seasonal ozone layer depletion over Antarctica in the austral spring in 1998. Previous analysis of this instrument have shown agreement in the radiances observed by OMAD and NASA's Total Ozone Mapping Spectrometer (TOMS-EP); these have even indicated the detection of an apparently higher ozone content anomaly due to a volcanic cloud of Nyamuragira volcano during its eruption in October 1998 [1]. A new improved version of the simplified algorithm used in OMAD data has been applied to the austral region to determine the total Ozone content. The new data processing allowed the observation of the development of the ozone depletion in 1998 from September to early December when ozone depletion normally occurs. The OMAD results showed good agreement overall when compared with those obtained from TOMS-EP V8 despite their intrinsic instrumental differences. Results indicate Ozone contents lower than 150 Dobson Units (DU) in the Antarctic region with absolute errors less than 10 % in the vertical column content and high cross-correlations when compared with TOMS-EP. The value of this low-cost earth observation approach is discussed on the potential of such missions to provide additional atmospheric observations of large-scale phenomena.</t>
  </si>
  <si>
    <t>[Fernandez-Saldivar, J. A.; Underwood, C. I.] Univ Surrey, Surrey Space Ctr, Guildford GU2 7XH, Surrey, England; [Fernandez-Saldivar, J. A.; Underwood, C. I.] Surrey Satellite Technol Ltd, Guildford GU2 7YE, Surrey, England</t>
  </si>
  <si>
    <t>University of Surrey; Surrey Satellite Technology Ltd</t>
  </si>
  <si>
    <t>Fernandez-Saldivar, JA (corresponding author), Univ Surrey, Surrey Space Ctr, Guildford GU2 7XH, Surrey, England.</t>
  </si>
  <si>
    <t>j.fernandez@surrey.ac.uk; c.underwood@surrey.ac.uk; s.mackin@sstl.go.uk</t>
  </si>
  <si>
    <t>978-0-8194-6903-8</t>
  </si>
  <si>
    <t>10.1117/12.737960</t>
  </si>
  <si>
    <t>Meteorology &amp; Atmospheric Sciences; Remote Sensing</t>
  </si>
  <si>
    <t>BHK54</t>
  </si>
  <si>
    <t>WOS:000253868600002</t>
  </si>
  <si>
    <t>Johannessen, OM; Alexandrov, VY; Frolov, IY; Sandven, S; Pettersson, LH; Bobylev, LP; Kloster, K; Smirnov, VG; Mironov, YU; Babich, NG</t>
  </si>
  <si>
    <t>Johannessen, Ola M.; Alexandrov, Vitaly Yu.; Frolov, Ivan Ye.; Sandven, Stein; Pettersson, Lasse H.; Bobylev, Leonid P.; Kloster, Kjell; Smirnov, Vladimir G.; Mironov, Yevgeny U.; Babich, Nikolay G.</t>
  </si>
  <si>
    <t>History of the Northern Sea Route</t>
  </si>
  <si>
    <t>REMOTE SENSING OF SEA ICE IN THE NORTHERN SEA ROUTE: STUDIES AND APPLICATIONS</t>
  </si>
  <si>
    <t>Springer Praxis Books</t>
  </si>
  <si>
    <t>[Johannessen, Ola M.] Univ Bergen, Nansen Environm &amp; Remote Sensing Ctr, Mohn Sverdrup Ctr Global Ocean Studies &amp; Operat O, Inst Geophys, Bergen, Norway; [Alexandrov, Vitaly Yu.; Bobylev, Leonid P.] Nansen Int Environm &amp; Remote Sensing Ctr, St Petersburg, Russia; [Babich, Nikolay G.] Murmansk Shipping Co, Murmansk, Russia; [Sandven, Stein] Univ Coureses Svalbard UNIS, Longyearbyen, Svalbard, Norway; [Frolov, Ivan Ye.; Smirnov, Vladimir G.; Mironov, Yevgeny U.] Arctic &amp; Antarctic Res Inst, St Petersburg 199226, Russia</t>
  </si>
  <si>
    <t>Nansen Environmental &amp; Remote Sensing Center (NERSC); University of Bergen; Nansen Environmental &amp; Remote Sensing Center (NERSC); University Centre Svalbard (UNIS); Arctic &amp; Antarctic Research Institute</t>
  </si>
  <si>
    <t>Johannessen, OM (corresponding author), Univ Bergen, Nansen Environm &amp; Remote Sensing Ctr, Mohn Sverdrup Ctr Global Ocean Studies &amp; Operat O, Inst Geophys, Bergen, Norway.</t>
  </si>
  <si>
    <t>Ola.Johannessen@nersc.no; Vitali.Alexandrov@niersc.spb.ru; Frolov@aari.nw.ru; Stein.Sandven@nersc.no; lasse.pettersson@nersc.no; Leonid.Bobylev@niersc.spb.ru; Kjell.Kloster@nersc.no; Vgs@aari.nw.ru; Mir@aari.nw.ru; Deyneka@msco.ru</t>
  </si>
  <si>
    <t>Bobylev, Leonid/L-4816-2017; Pettersson, Lasse Herbert/AAM-9908-2020</t>
  </si>
  <si>
    <t>SPRINGER-VERLAG LONDON LTD</t>
  </si>
  <si>
    <t>GODALMING</t>
  </si>
  <si>
    <t>SWEETAPPLE HOUSE CATTESHALL RD FARNCOMBE, GODALMING GU7 1NH, SURREY, ENGLAND</t>
  </si>
  <si>
    <t>978-3-540-48840-8</t>
  </si>
  <si>
    <t>SPRINGER-PRAX BOOKS</t>
  </si>
  <si>
    <t>10.1007/978-3-540-48840-8</t>
  </si>
  <si>
    <t>Geosciences, Multidisciplinary; Multidisciplinary Sciences; Oceanography</t>
  </si>
  <si>
    <t>Geology; Science &amp; Technology - Other Topics; Oceanography</t>
  </si>
  <si>
    <t>BLQ06</t>
  </si>
  <si>
    <t>WOS:000270756700003</t>
  </si>
  <si>
    <t>Remote Sensing of Sea Ice in the Northern Sea Route Studies and Applications Preface</t>
  </si>
  <si>
    <t>SYNTHETIC-APERTURE-RADAR; MICROWAVE SATELLITE DATA; IN-SITU DATA; ARCTIC-OCEAN; FRAM STRAIT; SAR IMAGES; ATMOSPHERIC CIRCULATION; BARENTS SEA; ERS-1 SAR; INTERANNUAL VARIABILITY</t>
  </si>
  <si>
    <t>University of Bergen; Nansen Environmental &amp; Remote Sensing Center (NERSC); Nansen Environmental &amp; Remote Sensing Center (NERSC); University Centre Svalbard (UNIS); Arctic &amp; Antarctic Research Institute</t>
  </si>
  <si>
    <t>Frolov, Ivan/L-2908-2018; Pettersson, Lasse Herbert/AAM-9908-2020; Bobylev, Leonid/L-4816-2017</t>
  </si>
  <si>
    <t>Frolov, Ivan/0000-0002-6586-354X;</t>
  </si>
  <si>
    <t>IX</t>
  </si>
  <si>
    <t>WOS:000270756700001</t>
  </si>
  <si>
    <t>Sea ice conditions in the Arctic and in the Northern Sea Route</t>
  </si>
  <si>
    <t>Pettersson, Lasse Herbert/AAM-9908-2020; Frolov, Ivan/L-2908-2018; Bobylev, Leonid/L-4816-2017</t>
  </si>
  <si>
    <t>WOS:000270756700004</t>
  </si>
  <si>
    <t>Remote Sensing of Sea Ice in the Northern Sea Route Studies and Applications Introduction</t>
  </si>
  <si>
    <t>Bobylev, Leonid/L-4816-2017; Frolov, Ivan/L-2908-2018; Pettersson, Lasse Herbert/AAM-9908-2020</t>
  </si>
  <si>
    <t>XXXVII</t>
  </si>
  <si>
    <t>XLI</t>
  </si>
  <si>
    <t>WOS:000270756700002</t>
  </si>
  <si>
    <t>Sea ice monitoring</t>
  </si>
  <si>
    <t>Frolov, Ivan/L-2908-2018; Bobylev, Leonid/L-4816-2017; Pettersson, Lasse Herbert/AAM-9908-2020</t>
  </si>
  <si>
    <t>WOS:000270756700005</t>
  </si>
  <si>
    <t>Satellite remote sensing of sea ice</t>
  </si>
  <si>
    <t>WOS:000270756700006</t>
  </si>
  <si>
    <t>Sea ice conditions observed from satellite remote-sensing data</t>
  </si>
  <si>
    <t>WOS:000270756700007</t>
  </si>
  <si>
    <t>Application of SAR for ice navigation in the Northern Sea Route</t>
  </si>
  <si>
    <t>Pettersson, Lasse Herbert/AAM-9908-2020; Bobylev, Leonid/L-4816-2017; Frolov, Ivan/L-2908-2018</t>
  </si>
  <si>
    <t>Frolov, Ivan/0000-0002-6586-354X</t>
  </si>
  <si>
    <t>WOS:000270756700008</t>
  </si>
  <si>
    <t>Climatic variability of sea ice in the Arctic</t>
  </si>
  <si>
    <t>WOS:000270756700009</t>
  </si>
  <si>
    <t>Remote Sensing of Sea Ice in the Northern Sea Route Studies and Applications Afterword</t>
  </si>
  <si>
    <t>Bobylev, Leonid/L-4816-2017; Pettersson, Lasse Herbert/AAM-9908-2020; Frolov, Ivan/L-2908-2018</t>
  </si>
  <si>
    <t>WOS:000270756700010</t>
  </si>
  <si>
    <t>Moran, ME</t>
  </si>
  <si>
    <t>Evan, AP; Lingeman, JE; Williams, JC</t>
  </si>
  <si>
    <t>Moran, Michael E.</t>
  </si>
  <si>
    <t>The urologist's guide to the galaxy</t>
  </si>
  <si>
    <t>Renal Stone Disease</t>
  </si>
  <si>
    <t>AIP CONFERENCE PROCEEDINGS</t>
  </si>
  <si>
    <t>1st Annual International Urolithiasis Research Symposium</t>
  </si>
  <si>
    <t>NOV 02-03, 2006</t>
  </si>
  <si>
    <t>Indianapolis, IN</t>
  </si>
  <si>
    <t>space exploration; zero gravity; urolithiasis</t>
  </si>
  <si>
    <t>SPACE; RISK; DISEASE; FLIGHT</t>
  </si>
  <si>
    <t>Far out in the uncharted backwaters of the unfashionable end of the Western Spiral arm of the Galaxy.... Stone disease has affected mankind since earliest recorded history and will trouble us as we strive for the stars. Zero and microgravity are risk factors for urolithiasis, but the incidence is not yet known. Yet, the possible century of space exploration lies before us if payloads can be inexpensively offloaded from Earth's surface to orbit. The scientific publications about medical conditions of astronauts, deep water environments (submarine) and extreme conditions (Arctic and Antarctic) were reviewed to better understand the urologic risks. Actual events were next sought and any scientific data regarding therapeutic intent was carefully scrutinized. Incidence and risk potential could then be calculated and potential for intervention would then be known. The National Space Biomedical Research Institute has classified space health hazards and stone disease as Risk 12. Combined statistics from NASA's Gemini, Apollo, and Space Shuttle flights and long-term missions such as Shuttle-Mir or Skylab fail to reveal any disclosed emergency stone events. One published article suggests that some cosmonauts have in fact formed stones during space missions. Detailed data from 79 U.S. space missions, involving 219 person-flights, and 175 astronauts show 23 genitourinary problems (1.2 % or 0.07 incidence for 7 days). Submarine encounters are different however, with 1.8 to 2.6 actual emergency evacuations per 1,000 person months and 23 kidney stone events (data from all subs in U.S. Atlantic Fleet 1993-1996). Extreme environment data appears more similar to that of spaceflight (despite full Earth's gravity) with 1,967 person-years distribution showing no definite stone formation/evacuation (but 335 or 3.6% were not-specified). Pak and co-workers at the University of Texas, Southwestern have extensively evaluated the metabolic consequences of bone-mineral loss and urinary parameters associated with the increased risk of stone formation in space. Astronauts are at significantly greater risk of forming calcium oxalate, calcium phosphate and uric acid stones, and this persists for a period of time following return to normal gravity. Conflicting data exists regarding submarine and extreme environmental databases as to the actual space mission risks but the hazard is real. Attempts to evaluate both diagnostic and therapeutic interventions are being pursued. As the number of space visitors increases, so should the incidence of urolithiasis. Both diagnostic and therapeutic methods need to be developed coincident to our further efforts in space.</t>
  </si>
  <si>
    <t>Capital Reg Urol Surg, Albany, NY USA</t>
  </si>
  <si>
    <t>Moran, ME (corresponding author), Capital Reg Urol Surg, Albany, NY USA.</t>
  </si>
  <si>
    <t>978-0-7354-0406-9</t>
  </si>
  <si>
    <t>Urology &amp; Nephrology</t>
  </si>
  <si>
    <t>BGD22</t>
  </si>
  <si>
    <t>WOS:000246135200048</t>
  </si>
  <si>
    <t>Bohoyo, F; Galindo-Zaldivar, J; Jabaloy, A; Maldonado, A; Rodríguez-Fernández, J; Schreider, AA; Suriñach, E</t>
  </si>
  <si>
    <t>Bohoyo, F.; Galindo-Zaldivar, J.; Jabaloy, A.; Maldonado, A.; Rodriguez-Fernandez, J.; Schreider, A. A.; Surinach, E.</t>
  </si>
  <si>
    <t>DEVELOPMENT OF DEEP EXTENSIONAL BASINS ASSOCIATED WITH THE ZONE OF TRANSCURRENT FAULT OF THE LIMIT OF SCOTIA-ANTARCTICA PLATE</t>
  </si>
  <si>
    <t>REVISTA DE LA SOCIEDAD GEOLOGICA DE ESPANA</t>
  </si>
  <si>
    <t>The Scotia-Antarctic plate boundary extends along the southern branch of the Scotia Arc, between triple junctions with the former Phoenix plate to the West (57 degrees W) and with the Sandwich plate to the East (30 degrees W). The present arc configuration is related to break-up of the continental connection between South America and the Antarctic Peninsula and the development of the Scotia and Sandwich plates from 30-35 Ma. The Scotia-Antarctic plate boundary is a very complex tectonic zone because both oceanic and continental tectonic blocks are involved. Present-day sinistral transcurrent motion probably began 8 Ma ago. The main active structures observed in the area include releasing and restraining bends, with related deep extensional and compressional basins, and probable pull-apart basins. The western sector of the South Scotia Ridge crosses fragmented continental crust with wide development of pull-apart basins and releasing bends deeper than -5.000m, filled by asymmetric sedimentary wedges. The northern border of the South Orkney Microcontinent, in the central sector, has oceanic and continental crust in contact along a large thrust zone. Finally, the eastern sector of the South Scotia Ridge is located within Discovery Bank, a piece of continental crust from a former arc. In its southern border, strike-slip and normal faults produce a -5.500 m deep trough that may be interpreted as a pull-apart basin. In the eastern and western South Scotia Ridge, despite extreme continental crustal thinning, the basins show no development of oceanic crust. This geometry is conditioned by the distinctive rheological behaviour of the involved crusts, with the bulk concentration of deformation within the rheologically weaker continental blocks.</t>
  </si>
  <si>
    <t>[Bohoyo, F.] Inst Geol &amp; Minero Espana, La Calera 1, Madrid 28760, Spain; [Galindo-Zaldivar, J.; Jabaloy, A.] Univ Granada, Dept Geodinam, E-18071 Granada, Spain; [Maldonado, A.; Rodriguez-Fernandez, J.] Univ Granada, Fac Ciencias, Inst Andaluz Ciencias Tierra, CSIC, Granada 18002, Spain; [Schreider, A. A.] Russian Acad Sci, PP Shirshov Inst Oceanol, Moscu 117218, Russia; [Surinach, E.] Univ Barcelona, Dept Geol Dinam &amp; Geofis, E-08028 Barcelona, Spain</t>
  </si>
  <si>
    <t>University of Granada; University of Granada; Consejo Superior de Investigaciones Cientificas (CSIC); CSIC - Instituto Andaluz de Ciencias de la Tierra (IACT); Russian Academy of Sciences; Shirshov Institute of Oceanology; University of Barcelona</t>
  </si>
  <si>
    <t>Bohoyo, F (corresponding author), Inst Geol &amp; Minero Espana, La Calera 1, Madrid 28760, Spain.</t>
  </si>
  <si>
    <t>f.bohoyo@igme.es</t>
  </si>
  <si>
    <t>Galindo-Zaldivar, Jesus/K-3640-2012; Surinach, Emma/C-5896-2008; Bohoyo, Fernando/AAZ-5990-2021; JABALOY SANCHEZ, ANTONIO/L-2955-2014; Bohoyo, Fernando/C-1062-2011</t>
  </si>
  <si>
    <t>Galindo-Zaldivar, Jesus/0000-0002-3493-2637; Bohoyo, Fernando/0000-0002-1044-8816; JABALOY SANCHEZ, ANTONIO/0000-0001-5830-5913; Bohoyo, Fernando/0000-0002-1044-8816</t>
  </si>
  <si>
    <t>SOC GEOLOGICA ESPANA, DPT INGENIERA GEOLOGICA, UNIV POLITECNICA MADR</t>
  </si>
  <si>
    <t>C/O JOSE EUGENIO ORTIZ MENENDEZ, SECRETARIO, ESCUELA TECNICA SUPERIOR DE INGENIEROS DE MINAS,, MADRID, E-28003, SPAIN</t>
  </si>
  <si>
    <t>0214-2708</t>
  </si>
  <si>
    <t>2255-1379</t>
  </si>
  <si>
    <t>REV SOC GEOL ESPANA</t>
  </si>
  <si>
    <t>Rev. Soc. Geol. Esp.</t>
  </si>
  <si>
    <t>VB5YY</t>
  </si>
  <si>
    <t>WOS:000416131300006</t>
  </si>
  <si>
    <t>Suárez, M; Márquez, M</t>
  </si>
  <si>
    <t>Suarez, Manuel; Marquez, Marcelo</t>
  </si>
  <si>
    <t>A Toarcian retro-arc basin of Central Patagonia (Chubut), Argentina:: Middle Jurassic closure, arc migration and tectonic setting</t>
  </si>
  <si>
    <t>REVISTA GEOLOGICA DE CHILE</t>
  </si>
  <si>
    <t>retro-arc basin; subduction; plume; Patagonia; Argentina</t>
  </si>
  <si>
    <t>BREAK-UP; ANTARCTIC PENINSULA; NEUQUEN BASIN; GONDWANA; MAGMATISM; VOLCANISM; EXTENSION; PROVINCE</t>
  </si>
  <si>
    <t>The Chubut Basin (new name for the 'Liassic Western Chubut Basin' of other authors), developed during the Early Jurassic in the western part of central extra-Andean Patagonia in Argentina (42 degrees 30'S and 44 degrees 30'S), accumulated shallow marine and continental sedimentary beds, with pyroclastic input, of the Osta Arena Formation and equivalent units. To the west it was bounded by a coeval subduction-related magmatic arc (Subcordilleran Plutonic Belt) and a subduction complex of Late Triassic-Early Jurassic age (Chonos Metamorphic Complex). In turn, the eastern basin floor developed over the remnants of a previous Late Triassic-earliest Jurassic magmatic arc (Batholith of Central Patagonia) and over neopaleozoic sedimentary rocks of an accretionary prism. To the east, the basin was limited by a Toarcian volcanic system associated to the Karroo plume. The western magmatic arc continued to the north, where it is represented by the Icalma Member of the Nacientes del Biobio Formation, bounding this time the Neuquen Basin developed to the east. The closure of the Toarcian basin in the Middle Jurassic coincides in time with a migration to the southwest of the Toarcian magmatic arc, from a position in central extra-Andean Patagonia and a NNW orientation, to a location in the Patagonian Cordillera and a north-south orientation. Synchronously, rift-related anatectic silicic volcanism developed east of the basin. Hence, a major change in tectonic setting took place during the Middle Jurassic. It is here proposed that the migration of the arc was related to the growth of a plume under north-eastern Patagonia.</t>
  </si>
  <si>
    <t>Serv Nacl Geol &amp; Mineria, Santiago, Chile; Serv Geol Minero Argentino, Delegac Patagonia, Comodoro Rivadavia, Argentina</t>
  </si>
  <si>
    <t>Suárez, M (corresponding author), Serv Nacl Geol &amp; Mineria, Avenida Santa Maria 0104, Santiago, Chile.</t>
  </si>
  <si>
    <t>msuarez@semageomin.cl; marcelo28marquez@yahoo.com.ar</t>
  </si>
  <si>
    <t>SERVICIO NACIONAL GEOLOGIA MINERVA</t>
  </si>
  <si>
    <t>SANTIAGO</t>
  </si>
  <si>
    <t>AVDA SANTA MARIO 0104, CASILLA 10465, SANTIAGO, CHILE</t>
  </si>
  <si>
    <t>0716-0208</t>
  </si>
  <si>
    <t>REV GEOL CHILE</t>
  </si>
  <si>
    <t>Rev. Geol. Chile</t>
  </si>
  <si>
    <t>129ZJ</t>
  </si>
  <si>
    <t>WOS:000243768300004</t>
  </si>
  <si>
    <t>Petryashev, VV</t>
  </si>
  <si>
    <t>Petryashev, V. V.</t>
  </si>
  <si>
    <t>Biogeographical division of Antarctic and subantarctic by mysid (Crustacea: Mysidacea) fauna</t>
  </si>
  <si>
    <t>RUSSIAN JOURNAL OF MARINE BIOLOGY</t>
  </si>
  <si>
    <t>Mysidacea; biogeographical analysis; Antarctic and subantarctic</t>
  </si>
  <si>
    <t>Based on the distribution of 66 species of Mysidacea (Crustacea), a biogeographical analysis of the cold and temperate waters of the Southern Hemisphere was carried out. The expediency of separate division by pelagic and benthopelagic mysid faunas was supported. The original patterns of the division of Antarctic and subantarctic faunas are given. One biogeographical province and two subprovinces were distinguished by the fauna of pelagic mysids in the areas studied. Two biogeographical provinces and five subprovinces were distinguished by the fauna of benthopelagic mysids in the Antarctic and subantarctic.</t>
  </si>
  <si>
    <t>Russian Acad Sci, Inst Zool, St Petersburg 199034, Russia</t>
  </si>
  <si>
    <t>Russian Academy of Sciences; Zoological Institute of the Russian Academy of Sciences</t>
  </si>
  <si>
    <t>Petryashev, VV (corresponding author), Russian Acad Sci, Inst Zool, St Petersburg 199034, Russia.</t>
  </si>
  <si>
    <t>malacostraca@zin.ru</t>
  </si>
  <si>
    <t>MAIK NAUKA/INTERPERIODICA/SPRINGER</t>
  </si>
  <si>
    <t>233 SPRING ST, NEW YORK, NY 10013-1578 USA</t>
  </si>
  <si>
    <t>1063-0740</t>
  </si>
  <si>
    <t>1608-3377</t>
  </si>
  <si>
    <t>RUSS J MAR BIOL+</t>
  </si>
  <si>
    <t>Russ. J. Mar. Biol.</t>
  </si>
  <si>
    <t>10.1134/S1063074007010014</t>
  </si>
  <si>
    <t>281BA</t>
  </si>
  <si>
    <t>WOS:000254470000001</t>
  </si>
  <si>
    <t>Hughes, KA; Bridge, P; Clark, MS</t>
  </si>
  <si>
    <t>Hughes, Kevin A.; Bridge, Paul; Clark, Melody S.</t>
  </si>
  <si>
    <t>Tolerance of Antarctic soil fungi to hydrocarbons</t>
  </si>
  <si>
    <t>SCIENCE OF THE TOTAL ENVIRONMENT</t>
  </si>
  <si>
    <t>hydrocarbon; Antarctica; fungi; microorganisms; oil; soil</t>
  </si>
  <si>
    <t>VESTFOLD HILLS; BAHIA-PARAISO; AROMATIC-HYDROCARBONS; SCOTT BASE; OIL-SPILL; CONTAMINATION; BIOREMEDIATION; GROWTH; BIODEGRADATION; TEMPERATURE</t>
  </si>
  <si>
    <t>Little is known about the effects of hydrocarbons and fuel oil on Antarctic filamentous fungi in the terrestrial Antarctic environment. Growth of fungi and bacteria from soils around Rothera Research Station (Adelaide Island, Antarctic Peninsula) was assessed in the presence of ten separate aromatic and aliphatic hydrocarbons [marine gas oil (MGO), dodecane, hexadecane, benzoic acid, p-hydroxybenzoic acid, toluene, phenol, biphenyl, naphthalene and m- and p-xylenes with ethylbenzene]. Aromatic hydrocarbons inhibited soil microbial growth more than aliphatic hydrocarbons. Soil microorganisms from a moss patch, where little previous impact or hydrocarbon contamination had occurred, were less tolerant of hydrocarbons than those from high impact sites. Fungal growth rates of Mollisia sp., Penicillium commune, Mortierella sp., Trichoderma koningii, Trichoderma sp. and Phoma herbarum were assessed in the presence of hydrocarbons. Generally, aromatic hydrocarbons inhibited or stopped hyphal extension, though growth rates increased with some aliphatic hydrocarbons. Hyphal dry weight measurements suggested that Mortierella sp. may be able to use dodecane as sole carbon and energy source. Hydrocarbon-degrading Antarctic fungi may have use in future hydrocarbon spill bioremediation. (c) 2006 Elsevier B.V. All rights reserved.</t>
  </si>
  <si>
    <t>Hughes, KA (corresponding author), British Antarctic Survey, NERC, High Cross,Madingley Rd, Cambridge CB3 0ET, England.</t>
  </si>
  <si>
    <t>k.hughes@bas.ac.uk</t>
  </si>
  <si>
    <t>Hughes, Kevin/JVZ-0793-2024; Clark, Melody/D-7371-2014</t>
  </si>
  <si>
    <t>Natural Environment Research Council [bas010012] Funding Source: researchfish; NERC [bas010012] Funding Source: UKRI</t>
  </si>
  <si>
    <t>0048-9697</t>
  </si>
  <si>
    <t>1879-1026</t>
  </si>
  <si>
    <t>SCI TOTAL ENVIRON</t>
  </si>
  <si>
    <t>Sci. Total Environ.</t>
  </si>
  <si>
    <t>2-3</t>
  </si>
  <si>
    <t>10.1016/j.scitotenv.2006.09.016</t>
  </si>
  <si>
    <t>130KA</t>
  </si>
  <si>
    <t>WOS:000243797300018</t>
  </si>
  <si>
    <t>Swinney, GN</t>
  </si>
  <si>
    <t>Swinney, Geoffrey N.</t>
  </si>
  <si>
    <t>The Scottish National Antarctic Expedition (1902-04) and the founding of Base Orcadas</t>
  </si>
  <si>
    <t>SCOTTISH GEOGRAPHICAL JOURNAL</t>
  </si>
  <si>
    <t>antarctic science; history; national rivalry; South Orkney Islands</t>
  </si>
  <si>
    <t>The history of the establishment of the scientific research station on Laurie Island, South Orkney Islands, is recounted. Its founding by the Scottish National Antarctic (Scotia) Expedition (1902-04) and the subsequent operation by Argentina resulted in it becoming the first all-year-round permanently-staffed research facility in Antarctica. The networks of government and non-government personnel involved in the rivalry between British and Scottish interests and aspirations and the transfer of the Laurie Island facility from the Scottish expedition to Argentine government control are investigated. The narrative is set against the background of the centennial celebrations of that transfer.</t>
  </si>
  <si>
    <t>Natl Museum Scotland, Edinburgh EH1 1JF, Midlothian, Scotland; Univ Edinburgh, Sch Geosci, Inst Geog, Edinburgh, Midlothian, Scotland</t>
  </si>
  <si>
    <t>Swinney, GN (corresponding author), Natl Museum Scotland, Chambers St, Edinburgh EH1 1JF, Midlothian, Scotland.</t>
  </si>
  <si>
    <t>g.swinney@nms.ac.uk</t>
  </si>
  <si>
    <t>4 PARK SQUARE, MILTON PARK, ABINGDON OX14 4RN, OXFORDSHIRE, ENGLAND</t>
  </si>
  <si>
    <t>1470-2541</t>
  </si>
  <si>
    <t>SCOT GEOGR J</t>
  </si>
  <si>
    <t>Scott. Geogr. J.</t>
  </si>
  <si>
    <t>10.1080/14702540701372879</t>
  </si>
  <si>
    <t>200JW</t>
  </si>
  <si>
    <t>WOS:000248760700004</t>
  </si>
  <si>
    <t>Meng, Y; Wang, ZM; E, DC; Liu, JB</t>
  </si>
  <si>
    <t>Wang, C; Zhong, S; Wei, JL</t>
  </si>
  <si>
    <t>Meng Yang; Wang Zemin; E Dongchen; Liu Jingbin</t>
  </si>
  <si>
    <t>GPS based detection of pre-seismic ionospheric abnormality</t>
  </si>
  <si>
    <t>SECOND INTERNATIONAL CONFERENCE ON SPACE INFORMATION TECHNOLOGY, PTS 1-3</t>
  </si>
  <si>
    <t>2nd International Conference on Space Information Technology</t>
  </si>
  <si>
    <t>NOV 10-11, 2007</t>
  </si>
  <si>
    <t>Wuhan, PEOPLES R CHINA</t>
  </si>
  <si>
    <t>earthquake; ionosphere; total ionospheric electron content (TEC); GPS</t>
  </si>
  <si>
    <t>EARTHQUAKES</t>
  </si>
  <si>
    <t>Ionospheric abnormality before the 26 December 2004 M9.3 Sumatra earthquake is detected by the total electron content (TEC) of ground-based receivers of the global positioning system (GPS) in the Indian Ocean area. Higher spatio-temporal grids of VTEC than earlier research are computed. To identify the abnormal ionospheric-seismic signals before the earthquake, a method of statistical analysis is utilized, and the temporal solar activity and geomagnetic environment is also considered in this paper. Results indicate that VTECs mostly decreased 4 days before earthquake happening, and quickly come back after the tragedy. We also find that areas of ionospheric-seismic anomalies is in +/- 15 degrees latitude deviate from epicenter, and the anomalies are more obvious in the sea than the earth, so we can deduce that correlations of ionosphere with seabed and earth are different to some extent.</t>
  </si>
  <si>
    <t>[Meng Yang; Liu Jingbin] Wuhan Univ, Sch Geodesy &amp; Geomat, Luoyu Rd 129, Wuhan 430079, Hubei, Peoples R China; [Meng Yang; Wang Zemin; E Dongchen] Wuhan Univ, Chinese Antarctic Ctr Surveying &amp; Mapping, Wuhan 430079, Hubei, Peoples R China</t>
  </si>
  <si>
    <t>Wuhan University; Wuhan University</t>
  </si>
  <si>
    <t>Meng, Y (corresponding author), Wuhan Univ, Sch Geodesy &amp; Geomat, Luoyu Rd 129, Wuhan 430079, Hubei, Peoples R China.</t>
  </si>
  <si>
    <t>mengyang19@163.com</t>
  </si>
  <si>
    <t>Liu, Jingbin/AAE-8803-2020; ZeMin, Wang/AAU-3422-2020</t>
  </si>
  <si>
    <t>Liu, Jingbin/0000-0001-6216-0956</t>
  </si>
  <si>
    <t>978-0-8194-6960-1</t>
  </si>
  <si>
    <t>67956J</t>
  </si>
  <si>
    <t>10.1117/12.775289</t>
  </si>
  <si>
    <t>Engineering, Aerospace; Remote Sensing; Telecommunications</t>
  </si>
  <si>
    <t>Engineering; Remote Sensing; Telecommunications</t>
  </si>
  <si>
    <t>BHK09</t>
  </si>
  <si>
    <t>WOS:000253704600234</t>
  </si>
  <si>
    <t>Malumián, N; Cabrera, MIL; Náñez, C; Olivero, EB</t>
  </si>
  <si>
    <t>Bromley, RG; Buatois, LA; Mangano, G; Genise, JF; Melchor, RN</t>
  </si>
  <si>
    <t>Malumian, N.; Lopez Cabrera, M. I.; Nanez, C.; Olivero, E. B.</t>
  </si>
  <si>
    <t>BIOEROSION PATTERNS IN CRETACEOUS-CENOZOIC BENTHIC FORAMINIFERAL TESTS FROM PATAGONIA AND TIERRA DEL FUEGO ISLAND, ARGENTINA</t>
  </si>
  <si>
    <t>SEDIMENT-ORGANISM INTERACTIONS: A MULTIFACTED ICHNOLOGY</t>
  </si>
  <si>
    <t>Society for Sedimentary Geology Special Publication</t>
  </si>
  <si>
    <t>1st International Congress on Ichnology</t>
  </si>
  <si>
    <t>APR 19-23, 2004</t>
  </si>
  <si>
    <t>Museo Paleontol Egidio Ferugl, Trelew, ARGENTINA</t>
  </si>
  <si>
    <t>Museo Paleontol Egidio Ferugl</t>
  </si>
  <si>
    <t>Cretaceous-Cenozoic benthic foraminiferal assemblages from Patagonia and Tierra del Fuego are characteristic mainly of shallow settings of the cool-temperate Austral geobioprovince, lacking larger foraminifera. A survey of more than 2000 samples, including illustrations in systematic papers, shows that bioeroded tests are uncommon. However, a general pattern is indicated by (a) an apparent chronological distribution of boring abundance and diversity: during the early Cretaceous-Campanian, borings are very rare, and in the Maastrichtian-Paleocene, rare. In the Middle Eocene an increased abundance of borings and boring types is apparent, including: circular, subcircular, roughly or neatly beveled; multiple, concentrated in juvenile chambers or one per chamber; and associated with main or supplementary apertures. (b) Taxa selectivity: predator preferences are evident mainly among the most common species, in genera either of Antarctic origin (e.g., Ammoelphidiella) or abundant in cool-temperate waters (e.g., Buccella), and in elongate thin-walled genera (e.g., Bulimina, Buliminella, Praebulimina). (c) Site selectivity: this is evident in a non-random distribution of borings observed in several cases. Scarcity or absence of bioerosion in the Early Cretaceous may be related to widespread dysaerobic-anaerobic conditions, that could diminish predation pressure and/or the dominance of finely perforate thick-walled Nodosariacea. Increased bioerosion in the Middle Eocene, coincident with a temperature fall during the Cenozoic long cooling trend, affects genera that previously were recorded as intensely bored from the Antarctic Pliocene, giving a polar aspect to many Fuegian foraminiferal assemblages.</t>
  </si>
  <si>
    <t>[Malumian, N.; Nanez, C.] SEGEMAR CONICET, Benjamin Lavaisse 1194,C1107BJD, Buenos Aires, DF, Argentina</t>
  </si>
  <si>
    <t>Consejo Nacional de Investigaciones Cientificas y Tecnicas (CONICET)</t>
  </si>
  <si>
    <t>Malumián, N (corresponding author), SEGEMAR CONICET, Benjamin Lavaisse 1194,C1107BJD, Buenos Aires, DF, Argentina.</t>
  </si>
  <si>
    <t>cnaniez@fullzero.com.ar; emolivero@ciudad.com.ar</t>
  </si>
  <si>
    <t>Agencia Nacional de Promocion Cientifica y Tecnologica [PICT 8675, PICT 12257, PIP 2756]; CONICET</t>
  </si>
  <si>
    <t>Agencia Nacional de Promocion Cientifica y Tecnologica(ANPCyTSpanish Government); CONICET(Consejo Nacional de Investigaciones Cientificas y Tecnicas (CONICET))</t>
  </si>
  <si>
    <t>Several years ago, the late Dr. E. Boltovskoy and the late Dr. N. de B. Hornibrook kindly provided specimens of Buccella, from the La Plata River and from the Lower Miocene of New Zealand, respectively. G. Jannou (SEGEMAR) placed his photographic file of foraminifera from the Punta Torcida Formation at our disposal. We thank J.J. Ponce (CADIC) for helping with the preparation of the plates. Part of this study was financed by PICT 8675 and PICT 12257 Agencia Nacional de Promocion Cientifica y Tecnologica and PIP 2756, CONICET; Argentina.</t>
  </si>
  <si>
    <t>S E P M - SOC SEDIMENTARY GEOLOGY</t>
  </si>
  <si>
    <t>TULSA</t>
  </si>
  <si>
    <t>PO BOX 4756 1731 E 71ST ST, TULSA, OK 74159-0756 USA</t>
  </si>
  <si>
    <t>1060-071X</t>
  </si>
  <si>
    <t>978-1-56576-129-2</t>
  </si>
  <si>
    <t>SOC SEDIMENT GEOL SP</t>
  </si>
  <si>
    <t>BJD38</t>
  </si>
  <si>
    <t>WOS:000264979700021</t>
  </si>
  <si>
    <t>Kim, S</t>
  </si>
  <si>
    <t>Kang, YW; Lee, HW; Cheng, KS; Leung, KC</t>
  </si>
  <si>
    <t>Kim, S.</t>
  </si>
  <si>
    <t>Submillimeter observations of the 30 Doradus nebula</t>
  </si>
  <si>
    <t>Seventh Pacific Rim Conference on Stellar Astrophysics</t>
  </si>
  <si>
    <t>ASTRONOMICAL SOCIETY OF THE PACIFIC CONFERENCE SERIES</t>
  </si>
  <si>
    <t>7th Pacific Rim Conference on Stellar Astrophysics</t>
  </si>
  <si>
    <t>NOV 15, 2005</t>
  </si>
  <si>
    <t>Sejong Univ, Seoul, SOUTH KOREA</t>
  </si>
  <si>
    <t>Sejong Univ</t>
  </si>
  <si>
    <t>LARGE-MAGELLANIC-CLOUD; MOLECULAR CLOUDS; 30 DORADUS; STAR-FORMATION; CO SURVEY; TELESCOPE; EMISSION; COMPLEX; POPULATION; REGIONS</t>
  </si>
  <si>
    <t>We present a mid-J CO emission line study of the largest H II complex, the 30 Doradus nebula in the Large Magellanic Cloud (LMC). This is the most luminous example of a starburst region in the Local Group. We have searched for (CO)-C-12 J = 7 -&gt; 6 emission towards the 30 Doradus complex with the Antarctic Submillimeter Telescope and Remote Observatory (AST/RO), located at 2847 m above mean sea level at the Amundsen-Scott South Pole Station. As a result we have detected a (CO)-C-12 J = 7 -&gt; 6 emitting cloud near the 30 Doradus complex. The (CO)-C-12 J = 7, 6/(CO)-C-12 J = 4 -&gt; 3 line temperature ratio in this region is approximately a factor of two higher than that observed near the Sgr B2 complex. A radiative transfer calculation using the line ratios shows that the core of massive star formation in the LMC is much warmer and denser than that of the Milky Way region.</t>
  </si>
  <si>
    <t>Sejong Univ, Dept Astron &amp; Space Sci, Seoul 143747, South Korea</t>
  </si>
  <si>
    <t>Sejong University</t>
  </si>
  <si>
    <t>Kim, S (corresponding author), Sejong Univ, Dept Astron &amp; Space Sci, 98 Kwangjin Gu, Seoul 143747, South Korea.</t>
  </si>
  <si>
    <t>978-1-583812-30-3</t>
  </si>
  <si>
    <t>BGJ44</t>
  </si>
  <si>
    <t>WOS:000247563200051</t>
  </si>
  <si>
    <t>Shagimuratov, II; Efishov, II; Zakharenkova, IE; Tepenitsina, NY</t>
  </si>
  <si>
    <t>Shagimuratov, I. I.; Efishov, I. I.; Zakharenkova, I. E.; Tepenitsina, N. Yu.</t>
  </si>
  <si>
    <t>Occurrence of phase fluctuations of GPS signals in the high latitude ionosphere during geomagnetic storms</t>
  </si>
  <si>
    <t>SIXTH INT KHARKOV SYMPOSIUM ON PHYSICS AND ENGINEERING OF MICROWAVES, MILLIMETER AND SUBMILLIMETER WAVES/WORKSHOP ON TERAHERTZ TECHNOLOGIES, VOLS 1 AND 2</t>
  </si>
  <si>
    <t>6th International Kharkov Symposium on Physics and Engineering of Microwaves, Millimeter and Submillimeter Waves/Workshop on Terahertz Technologies</t>
  </si>
  <si>
    <t>JUN 25-30, 2007</t>
  </si>
  <si>
    <t>Kharkov, UKRAINE</t>
  </si>
  <si>
    <t>Dual-frequency measurements of the differential carrier phase of GPS L-1 (f(1)=1.575 GHz) and L-2 (f(2)=1.228 GHz) signals have been used to study the development of phase fluctuations at high-latitude ionosphere during geomagnetic disturbances. The ionosphere irregularities are responsible for scintillations and phase fluctuations of GPS signals. Because of the depressive nature of the ionosphere the dual-frequency GPS phase measurements provide information about variations of the ionospheric total electron content (TEC). The paper presents analyze on the occurrence of strong phase fluctuations of GPS observed at Antarctic stations. The fluctuations caused large scales ionospheric irregularities which were associated with occurrence polar patches in TEC. The peculiarities of the latitude-longitudinal development of GPS signals phase fluctuations are described.</t>
  </si>
  <si>
    <t>[Shagimuratov, I. I.; Efishov, I. I.; Zakharenkova, I. E.; Tepenitsina, N. Yu.] Ionosphere &amp; Radiowaves Propagat, W Dept Inst Terr Magnet, 41 Av Pobeda, Kaliningrad 236010, Russia</t>
  </si>
  <si>
    <t>Shagimuratov, II (corresponding author), Ionosphere &amp; Radiowaves Propagat, W Dept Inst Terr Magnet, 41 Av Pobeda, Kaliningrad 236010, Russia.</t>
  </si>
  <si>
    <t>pcizmiran@gazinter.net</t>
  </si>
  <si>
    <t>Zakharenkova, Irina/0000-0002-7878-7275</t>
  </si>
  <si>
    <t>978-1-4244-1237-2</t>
  </si>
  <si>
    <t>10.1109/MSMW.2007.4294801</t>
  </si>
  <si>
    <t>Engineering, Electrical &amp; Electronic; Physics, Applied; Physics, Particles &amp; Fields</t>
  </si>
  <si>
    <t>Engineering; Physics</t>
  </si>
  <si>
    <t>BGQ00</t>
  </si>
  <si>
    <t>WOS:000249653400211</t>
  </si>
  <si>
    <t>Nickolaenko, AP</t>
  </si>
  <si>
    <t>Nickolaenko, Alexander P.</t>
  </si>
  <si>
    <t>Diurnal pattern of elf radio signal detected at the 'Bellinshausen' Antarctic station</t>
  </si>
  <si>
    <t>Diurnal amplitude variations were found in the man-made ELF radio wave recorded at the Antarctic station Bellinshausen. The propagation path was 16.25 Mm long. Average level of the field corresponds to the literature data. Diurnal amplitude variations in the record arise from the day - night non-uniformity of the waveguide. The ambient day level is by 5 - 6 dB lower than that at the ambient night conditions in the vertical electric field component, it is by 4 - 5 dB lower in the horizontal magnetic field. Computational results are presented for the fields in the spherical Earth - ionosphere cavity with the 'whole day' and 'whole night' ionosphere models taken from literature. Model data contradict to observations indicating on inexact literature value of the phase velocity of radio waves. Model data match the experiment after the phase velocity is corrected by 10%. Since the 'whole day' and the 'whole night' ionosphere models do not account for the wave diffraction at the day-night interface, we conclude that more exact modeling is desirable.</t>
  </si>
  <si>
    <t>Natl Acad Sci Ukraine, Usikov Inst Radio Phys &amp; Elect, UA-61085 Kharkov, Ukraine</t>
  </si>
  <si>
    <t>National Academy of Sciences Ukraine; O. Ya. Usikov Institute for Radio Physics &amp; Electronics, National Academy of Sciences of Ukraine</t>
  </si>
  <si>
    <t>Nickolaenko, AP (corresponding author), Natl Acad Sci Ukraine, Usikov Inst Radio Phys &amp; Elect, 12 Acad Proskura St, UA-61085 Kharkov, Ukraine.</t>
  </si>
  <si>
    <t>sasha@ire.kharkov.ua</t>
  </si>
  <si>
    <t>10.1109/MSMW.2007.4294805</t>
  </si>
  <si>
    <t>WOS:000249653400215</t>
  </si>
  <si>
    <t>McLeod, AR; Newsham, KK; Fry, SC</t>
  </si>
  <si>
    <t>McLeod, A. R.; Newsham, K. K.; Fry, S. C.</t>
  </si>
  <si>
    <t>Elevated UV-B radiation modifies the extractability of carbohydrates from leaf litter of Quercus robur</t>
  </si>
  <si>
    <t>SOIL BIOLOGY &amp; BIOCHEMISTRY</t>
  </si>
  <si>
    <t>basidiomycete fungi; carbohydrates; cell wall; decomposition; Driselase; leaf litter; polysaccharides; Quercus robur; stratospheric ozone depletion; UV-A and UV-B radiation</t>
  </si>
  <si>
    <t>STRATOSPHERIC OZONE DEPLETION; TIERRA-DEL-FUEGO; CELL-WALLS; DECOMPOSITION PROCESSES; QUALITY; ECOSYSTEM; LEAVES; SUCCESSION; ARGENTINA; DYNAMICS</t>
  </si>
  <si>
    <t>We examined the influence of elevated UV-B radiation on the extractability of carbohydrates from leaf litter of Quercus robur. Saplings were exposed to a 30% elevation above the ambient level of crythemally weighted UV-B (280-315 nm) radiation for eight months at an outdoor facility. UV-B radiation was applied under arrays of fluorescent lamps filtered with cellulose diacetate, which transmitted both UV-B and UV-A (315-400 nm) radiation. Saplings were also exposed to elevated UV-A radiation under arrays of polyester-filtered lamps and to ambient radiation under arrays of non-energised lamps. Abscised leaves were collected, ground and sequentially treated with seven solvents in order to fractionate extractable carbohydrates based on the way in which they are held in the cell wall. Elevated UV-B radiation reduced the extractability of carbohydrates from cell walls of Q. robur. Sodium phosphate buffer at pH 7 extracted 10% less total carbohydrate from leaf material exposed during growth to elevated UV-B radiation under cellulose diacetate-filtered lamps than from leaf material grown under polyester-filtered and non-energised lamps. The cumulative amount of carbohydrate released by sequential extraction with phosphate buffer, CDTA, urea and sodium carbonate was between 5.1 % and 7.8 % lower from leaf material grown under cellulose diacetate-filtered lamps relative to that from leaves grown under non-energised lamps. Abscised leaves were also digested with Driselase, an enzyme mixture extracted from a basidiomycete fungus. No effects of elevated UV radiation were recorded on the amount of carbohydrate released by Driselase digestion. Regression analyses, using data from a previous field decomposition study, suggested that reduced availability of carbohydrates enhanced the colonisation of Q. robur litter by basidiomycete fungi, which then accelerated the decomposition rate of the litter in soil. We recommend that future studies into the effects of UV-B radiation on plant litter decomposition measure not only the concentrations of chemical constituents of litter, but also determine the availability of litter carbon sources to soil microbes, using methods similar to those used here. Crown Copyright (c) 2006 Published by Elsevier Ltd. All rights reserved.</t>
  </si>
  <si>
    <t>Univ Edinburgh, Ctr Study Environm Change &amp; Sustainabil, Edinburgh EH9 3JN, Midlothian, Scotland; British Antarctic Survey, NERC, Cambridge CB3 0ET, England; Univ Edinburgh, Inst Mol Plant Sci, Edinburgh EH9 3JH, Midlothian, Scotland</t>
  </si>
  <si>
    <t>University of Edinburgh; UK Research &amp; Innovation (UKRI); Natural Environment Research Council (NERC); NERC British Antarctic Survey; University of Edinburgh</t>
  </si>
  <si>
    <t>McLeod, AR (corresponding author), Univ Edinburgh, Ctr Study Environm Change &amp; Sustainabil, Crew Bldg,Kings Bldg,Mayfield Rd, Edinburgh EH9 3JN, Midlothian, Scotland.</t>
  </si>
  <si>
    <t>andy.mcleod@ed.ac.uk</t>
  </si>
  <si>
    <t>Newsham, Kevin K/C-4192-2011</t>
  </si>
  <si>
    <t>0038-0717</t>
  </si>
  <si>
    <t>SOIL BIOL BIOCHEM</t>
  </si>
  <si>
    <t>Soil Biol. Biochem.</t>
  </si>
  <si>
    <t>10.1016/j.soilbio.2006.06.019</t>
  </si>
  <si>
    <t>Soil Science</t>
  </si>
  <si>
    <t>Agriculture</t>
  </si>
  <si>
    <t>115FN</t>
  </si>
  <si>
    <t>WOS:000242720300011</t>
  </si>
  <si>
    <t>Bargagli, R; Monaci, F; Bucci, C</t>
  </si>
  <si>
    <t>Bargagli, Roberto; Monaci, Fabrizio; Bucci, Charlie</t>
  </si>
  <si>
    <t>Environmental biogeochemistry of mercury in Antarctic ecosystems</t>
  </si>
  <si>
    <t>Antarctic ecosystems; coastal polynya; mercury accumulation; soils; lichens; mosses; cyanobacterial mats; sediment cores</t>
  </si>
  <si>
    <t>NORTHERN VICTORIA LAND; TERRA-NOVA BAY; ATMOSPHERIC MERCURY; SPRINGTIME DEPLETION; DEPOSITION; ELEMENTS; METALS; SOILS; LAKES; SNOW</t>
  </si>
  <si>
    <t>Polar regions are recognized as important sinks for long-range transport and deposition of Hg derived from natural and anthropogenic sources at lower latitudes. In previous studies we found enhanced Hg accumulation in soils, mosses and lichens from ice-free areas of Victoria Land facing the Terra Nova Bay coastal polynya. This study extends research to the distribution of organic C, total N, S, Hg, Al and Fe in surface soils, cyanobacterial mats and short sediment cores from four lacustrine ecosystems, each with different environmental characteristics and varying distances from the polynya. Results show that planktonic and benthic mats from lakes, along with mosses in the watershed, are the main sinks for Hg in summer meltwater. The C-normalized Hg concentrations in short sediment cores were higher in samples from lakes more exposed to marine aerosols from the coastal polynya. Reactive halogens in the aerosol promote the oxidation and deposition of atmospheric Hg in coastal ecosystems. The analysis of sediment cores did not reveal increasing Hg concentrations in recent sediments, except in the Lake 14 at Edmonson Point. The latter ice-free area is unaffected by the polynya and the increase in Hg concentrations in surface sediments could be due to local changes in lake water level and S biogeochemistry. Although change in sea ice coverage may enhance the role of Antarctic coastal ecosystems as sink in the global Hg cycle, our results seem to exclude possible risks for Antarctic terrestrial and freshwater organisms. (c) 2006 Elsevier Ltd. All rights reserved.</t>
  </si>
  <si>
    <t>Univ Siena, Dipartimento Sci Ambientali, I-53100 Siena, Italy</t>
  </si>
  <si>
    <t>University of Siena</t>
  </si>
  <si>
    <t>Bargagli, R (corresponding author), Univ Siena, Dipartimento Sci Ambientali, Via PA Mattioli 4, I-53100 Siena, Italy.</t>
  </si>
  <si>
    <t>bargagli@unisi.it</t>
  </si>
  <si>
    <t>Monaci, Fabrizio/B-6611-2012</t>
  </si>
  <si>
    <t>Monaci, Fabrizio/0000-0001-5489-1310</t>
  </si>
  <si>
    <t>10.1016/j.soilbio.2006.08.005</t>
  </si>
  <si>
    <t>WOS:000242720300035</t>
  </si>
  <si>
    <t>Hayashida, S; Sugita, T</t>
  </si>
  <si>
    <t>Hayashida, Sachiko; Sugita, Takafumi</t>
  </si>
  <si>
    <t>Hemispheric Contrast of Inorganic Chlorine Partitioning in the Polar Lower Stratosphere during Ozone Recovery Period Observed from Space</t>
  </si>
  <si>
    <t>SOLA</t>
  </si>
  <si>
    <t>The time evolution of two major chlorine reservoirs, HCl and ClONO2, in the polar lower stratosphere for both hemispheres in late spring and early summer was analyzed by utilizing satellite measurements. Analysis of the collocated ClONO2 observed with ILAS, and HCl observed with HALOE indicated that Cly was mostly in the form of HCl in the Antarctic vortex in November 1996, while more than half was ClONO2 in the Arctic vortex in March 1997. The analysis of N2O indicates that there was strong subsidence of the air inside the Antarctic vortex. The vortex remnant with HCl-rich air persisted in December 1996 even after the vortex weakened, suggesting slow mixing in the boundary. The ClONO2/Cly ratio was about 0.3, which was derived from analysis of correlation with N2O, as a representative value for the extravortex air and upper air inside the vortex (with potential temperature greater than similar to 600 K) in both hemispheres in spring.</t>
  </si>
  <si>
    <t>[Hayashida, Sachiko] Nara Womens Univ, Dept Informat &amp; Comp Sci, Fac Sci, Nara 6308506, Japan; [Sugita, Takafumi] Natl Inst Environm Studies, Tsukuba, Ibaraki, Japan</t>
  </si>
  <si>
    <t>Nara Womens University; National Institute for Environmental Studies - Japan</t>
  </si>
  <si>
    <t>Hayashida, S (corresponding author), Nara Womens Univ, Dept Informat &amp; Comp Sci, Fac Sci, Kitauoyanishi Machi, Nara 6308506, Japan.</t>
  </si>
  <si>
    <t>sachiko@ics.nara-wu.ac.jp</t>
  </si>
  <si>
    <t>Sugita, Takafumi/H-6669-2018</t>
  </si>
  <si>
    <t>Global Environmental Research Fund (GERF)</t>
  </si>
  <si>
    <t>We wish to express our immense gratitude to all the ILAS science team members and their associates. The ILAS retrieval data processing was carried out at the ILAS Data Handling Facility (DHF) at NIES. This study was partly supported by the Global Environmental Research Fund (GERF)</t>
  </si>
  <si>
    <t>METEOROLOGICAL SOC JPN</t>
  </si>
  <si>
    <t>C/O JPN METEOROL AGENCY 1-3-4 OTE-MACHI, CHIYODA-KU, TOKYO, 100-0004, JAPAN</t>
  </si>
  <si>
    <t>1349-6476</t>
  </si>
  <si>
    <t>10.2151/sola.2007-030</t>
  </si>
  <si>
    <t>V10JH</t>
  </si>
  <si>
    <t>WOS:000207459800030</t>
  </si>
  <si>
    <t>Sugita, T; Saitoh, N; Hayashida, S; Imamura, T; Saeki, K; Nakajima, H</t>
  </si>
  <si>
    <t>Sugita, T.; Saitoh, N.; Hayashida, S.; Imamura, T.; Saeki, K.; Nakajima, H.</t>
  </si>
  <si>
    <t>Temporary Denitrification in the Antarctic Stratosphere as Observed by ILAS-II in June 2003</t>
  </si>
  <si>
    <t>ARCTIC WINTER; NITRIC-ACID; OZONE LOSS; DEPLETION</t>
  </si>
  <si>
    <t>To examine the characteristics of polar stratospheric clouds (PSCs) in the Antarctic, we have analyzed short-time (&lt;= 5 days) changes in nitric acid (HNO3) and aerosol extinction coefficient (AEC) at 780 nm, focusing near 20 km altitude in June 2003 as observed by the Improved Limb Atmospheric Spectrometer (ILAS)-II. The Match technique based on the air parcel trajectory was applied to the ILAS-II data. The several Match pairs have revealed decreased HNO3 values with increased AEC values within short times, indicating temporary denitrification. It is also suggested that the observed PSCs could be nitric acid trihydrate (NAT) particles, considering that the temperatures were above existence temperatures for supercooled ternary solution, but below those for NAT. Given appropriate size distributions for NAT particles, it is suggested that the median radius of particles was less than 3 mu m.</t>
  </si>
  <si>
    <t>[Sugita, T.] Natl Inst Environm Studies, Div Atmospher Environm, Tsukuba, Ibaraki 3058506, Japan; [Saitoh, N.] Univ Tokyo, Ctr Climate Syst Res, Kashiwa, Chiba, Japan; [Hayashida, S.] Nara Womans Univ, Fac Sci, Nara, Japan</t>
  </si>
  <si>
    <t>National Institute for Environmental Studies - Japan; University of Tokyo; Nara Womens University</t>
  </si>
  <si>
    <t>Sugita, T (corresponding author), Natl Inst Environm Studies, Div Atmospher Environm, Tsukuba, Ibaraki 3058506, Japan.</t>
  </si>
  <si>
    <t>tsugita@nies.go.jp</t>
  </si>
  <si>
    <t>Sugita, Takafumi/H-6669-2018; Nakajima, Hideaki/M-8845-2019</t>
  </si>
  <si>
    <t>Nakajima, Hideaki/0000-0002-2742-1230</t>
  </si>
  <si>
    <t>Ministry of the Environment, Japan (MOE); Global Environment Research Fund (GERF)</t>
  </si>
  <si>
    <t>Ministry of the Environment, Japan (MOE)(Ministry of the Environment, Japan); Global Environment Research Fund (GERF)</t>
  </si>
  <si>
    <t>The ILAS-II data were processed at the ILAS-II Data Handling Facility of the National Institute for Environmental Studies, Japan. We are grateful to Joan Rosenfield for the heating rate calculations and Mark Hervig for providing a code to compute the Mie scattering. The ILAS-II project is funded by the Ministry of the Environment, Japan (MOE). Financial support from the Global Environment Research Fund (GERF) of the MOE is greatly appreciated.</t>
  </si>
  <si>
    <t>METEOROLOGICAL SOC JAPAN</t>
  </si>
  <si>
    <t>C/O JAPAN METEOROLOGICAL AGENCY 1-3-4 OTE-MACHI, CHIYODA-KU, TOKYO, 100-0004, JAPAN</t>
  </si>
  <si>
    <t>10.2151/sola.2007-035</t>
  </si>
  <si>
    <t>WOS:000207459800035</t>
  </si>
  <si>
    <t>Rodger, AS</t>
  </si>
  <si>
    <t>Lilensten, J</t>
  </si>
  <si>
    <t>Rodger, A. S.</t>
  </si>
  <si>
    <t>The Sun's interaction with the Earth's thermosphere and climate system</t>
  </si>
  <si>
    <t>Space Weather: Research Towards Applications In Europe</t>
  </si>
  <si>
    <t>ASTROPHYSICS AND SPACE SCIENCE LIBRARY</t>
  </si>
  <si>
    <t>2nd European Space Weather Week</t>
  </si>
  <si>
    <t>NOV 14-19, 2005</t>
  </si>
  <si>
    <t>Noordwijk, NETHERLANDS</t>
  </si>
  <si>
    <t>Rodger, AS (corresponding author), British Antarctic Survey, Madingley Rd, Cambridge CB3 0ET, England.</t>
  </si>
  <si>
    <t>978-1-4020-5445-7</t>
  </si>
  <si>
    <t>ASTROPHYS SPACE SC L</t>
  </si>
  <si>
    <t>BGB42</t>
  </si>
  <si>
    <t>WOS:000245916100007</t>
  </si>
  <si>
    <t>Ulich, T; Clilverd, MA; Jarvis, MJ; Rishbeth, H</t>
  </si>
  <si>
    <t>Ulich, Thomas; Clilverd, Mark A.; Jarvis, Martin J.; Rishbeth, Henry</t>
  </si>
  <si>
    <t>Unravelling signs of global change in the ionosphere</t>
  </si>
  <si>
    <t>SPACE WEATHER: RESEARCH TOWARDS APPLICATIONS IN EUROPE</t>
  </si>
  <si>
    <t>Astrophysics and Space Science Library</t>
  </si>
  <si>
    <t>UPPER-ATMOSPHERE; PEAK HEIGHT; TRENDS; MESOSPHERE</t>
  </si>
  <si>
    <t>As a consequence of alterations of atmospheric chemical composition due to anthropogenic emissions, Earth's ionosphere and thermosphere are expected to change. A number of authors tried to detect signs of global change in their ionospheric data, but many findings remain controversial. We briefly review long-term trends observed in the critical frequencies of the ionospheric E and F2 layers as well as in the height of the F2-peak, i.e. the layer of maximum electron density. Using 48 years of F2-layer critical frequency data from Sodankyla, Finland, we demonstrate how the sign and amplitude of the detected trends depend upon the choice of model fitted to the data and suggest a method to choose the best possible model.</t>
  </si>
  <si>
    <t>[Ulich, Thomas] Sodankyla Geophys Observ, Sodankyla, Finland; [Clilverd, Mark A.; Jarvis, Martin J.] British Antarctic Survey, Cambridge CB3 0ET, England; [Rishbeth, Henry] Univ Southampton, Sch Phys &amp; Astron, Southampton, Hants, England</t>
  </si>
  <si>
    <t>UK Research &amp; Innovation (UKRI); Natural Environment Research Council (NERC); NERC British Antarctic Survey; University of Southampton</t>
  </si>
  <si>
    <t>Ulich, T (corresponding author), Sodankyla Geophys Observ, Sodankyla, Finland.</t>
  </si>
  <si>
    <t>Ulich, Thomas/G-3727-2018</t>
  </si>
  <si>
    <t>Ulich, Thomas/0000-0001-8217-022X</t>
  </si>
  <si>
    <t>Academy of Finland; Thule Institute, University of Oulu, Finland</t>
  </si>
  <si>
    <t>Academy of Finland(Research Council of Finland); Thule Institute, University of Oulu, Finland</t>
  </si>
  <si>
    <t>We thank Mrs Mirja Hamalainen and Mrs Nina Riipi for their excellent work of scaling the Sodankyla ionograms. Th.U. was supported by the Academy of Finland and the Thule Institute, University of Oulu, Finland.</t>
  </si>
  <si>
    <t>0067-0057</t>
  </si>
  <si>
    <t>2214-7985</t>
  </si>
  <si>
    <t>WOS:000245916100010</t>
  </si>
  <si>
    <t>Buresova, D; Lastovicka, J; De Franceschi, G</t>
  </si>
  <si>
    <t>Buresova, D.; Lastovicka, J.; De Franceschi, G.</t>
  </si>
  <si>
    <t>Manifestation of strong geomagnetic storms in the ionosphere above Europe</t>
  </si>
  <si>
    <t>ionosphere; geomagnetic storm; space weather</t>
  </si>
  <si>
    <t>REGION ELECTRON-DENSITY; VARIABILITY; F1-REGION; PATTERNS; F2-LAYER; QUIET; LINKS</t>
  </si>
  <si>
    <t>The solar wind effects on Earth environment are studied for their basic science value as well as for their crucial practical impact on human technological systems. Increased dissipation of solar wind energy in the near-Earth environment is a significant source of consequent perturbations in the upper atmosphere and ionosphere. This chapter addresses the ionospheric manifestation of geomagnetic storms induced by solar wind. Changes in the electron density distribution at the ionospheric F region heights above Europe during strong-to-severe geomagnetic storms, which occurred over present solar cycle, have been analysed. As for the seasonal preference, during storm main phase only negative phases dominate in summer, while during winter occurrence of both negative and positive phases is probable. Enhancements of electron density have been sometimes observed several hours before the onset of geomagnetic storm. Also the existence of few-hours-long periods during storm main phase, when the deviation of the electron density from median was insignificant, has been observed. Independent of the sign of the storm effect on F2 region ionisation, the effect on electron density at the F1 region heights at European higher middle latitudes has been found negative, if any at all. The F I region response to magnetic disturbances also shows substantial summer/winter asymmetry. The stormy high latitude F region is most variable compared with middle and lower middle latitudes, being strongly influenced by magnetospheric processes, in particular, strong electric fields, which are usually present during geomagnetic storms. Several specific features of the storm-time high latitude ionosphere will briefly be mentioned including behaviour of ionospheric scintillations. The comparative analysis illustrates that the improved IRI-2001 model with the activated STORM option provides better description of the ionisation distribution above Europe under geomagnetic storm conditions. Nevertheless, our results show that model not always estimates correctly the storm phase and the magnitude of the effects on F region electron density.</t>
  </si>
  <si>
    <t>[Buresova, D.; Lastovicka, J.] Inst Atmospher Phys, Prague, Czech Republic; [De Franceschi, G.] Ist Nazl Geofis &amp; Vulcanol, Rome, Italy</t>
  </si>
  <si>
    <t>Czech Academy of Sciences; Institute of Atmospheric Physics of the Czech Academy of Sciences; Istituto Nazionale Geofisica e Vulcanologia (INGV)</t>
  </si>
  <si>
    <t>Buresova, D (corresponding author), Inst Atmospher Phys, Prague, Czech Republic.</t>
  </si>
  <si>
    <t>buresd@ufa.cas.cz</t>
  </si>
  <si>
    <t>Lastovicka, Jan/H-6804-2014; Buresova, Dalia/G-4514-2014</t>
  </si>
  <si>
    <t>Academy of Sciences of the Czech Republic [1QS300120506]</t>
  </si>
  <si>
    <t>Academy of Sciences of the Czech Republic(Czech Academy of Sciences)</t>
  </si>
  <si>
    <t>This work has been supported by Grant 1QS300120506 of the Academy of Sciences of the Czech Republic. One of the authors thanks the PNRA (National Antarctic Research Program-Italy), the Polarnet project (CNR-Italy), the NOAA/SEC (Boulder, CO, USA).</t>
  </si>
  <si>
    <t>WOS:000245916100017</t>
  </si>
  <si>
    <t>Leuenberger, M</t>
  </si>
  <si>
    <t>Dawson, TE; Siegwolf, RTW</t>
  </si>
  <si>
    <t>Leuenberger, Markus</t>
  </si>
  <si>
    <t>To What Extent Can Ice Core Data Contribute to the Understanding of Plant Ecological Developments of the Past?</t>
  </si>
  <si>
    <t>STABLE ISOTOPES AS INDICATORS OF ECOLOGICAL CHANGE</t>
  </si>
  <si>
    <t>Terrestrial Ecology Series</t>
  </si>
  <si>
    <t>ATMOSPHERIC CARBON-DIOXIDE; LAST GLACIAL MAXIMUM; CO2 CONCENTRATION; ANTARCTIC ICE; TAYLOR-DOME; SECULAR VARIATIONS; ISOTOPIC-RATIOS; FOSSIL-FUEL; MAUNA-LOA; CLIMATE</t>
  </si>
  <si>
    <t>Univ Bern, Inst Phys, CH-3012 Bern, Switzerland</t>
  </si>
  <si>
    <t>University of Bern</t>
  </si>
  <si>
    <t>Leuenberger, M (corresponding author), Univ Bern, Inst Phys, CH-3012 Bern, Switzerland.</t>
  </si>
  <si>
    <t>leuenberger@climate.unibe.ch</t>
  </si>
  <si>
    <t>Leuenberger, Markus C/K-9655-2016</t>
  </si>
  <si>
    <t>Leuenberger, Markus C/0000-0003-4299-6793</t>
  </si>
  <si>
    <t>ELSEVIER ACADEMIC PRESS INC</t>
  </si>
  <si>
    <t>SAN DIEGO</t>
  </si>
  <si>
    <t>525 B STREET, SUITE 1900, SAN DIEGO, CA 92101-4495 USA</t>
  </si>
  <si>
    <t>978-0-08-055100-5; 978-0-12-373627-7</t>
  </si>
  <si>
    <t>TERR ECOL SER</t>
  </si>
  <si>
    <t>BCN84</t>
  </si>
  <si>
    <t>WOS:000310800000015</t>
  </si>
  <si>
    <t>White, JWC; Ferretti, DF; Miller, JB; Etheridge, DM; Lassey, KR; Lowe, DC; MacFarling, CM; Dreier, MF; Trudinger, CM; Ommen, T</t>
  </si>
  <si>
    <t>White, James W. C.; Ferretti, Dominic F.; Miller, John B.; Etheridge, David M.; Lassey, Keith R.; Lowe, David C.; MacFarling, Cecelia M.; Dreier, Mark F.; Trudinger, Cathy M.; van Ommen, Tas</t>
  </si>
  <si>
    <t>The Global Methane Budget over the Last 2000 Years: 13CH4 Reveals Hidden Information</t>
  </si>
  <si>
    <t>GREENLAND ICE CORE; ATMOSPHERIC METHANE; ANTHROPOGENIC EMISSIONS; CH4; HISTORY; RECORD; ANTARCTICA; DELTA-C-13; GRADIENT; HOLOCENE</t>
  </si>
  <si>
    <t>[White, James W. C.; Ferretti, Dominic F.; Dreier, Mark F.] Univ Colorado, Dept Geol Sci, Boulder, CO 80309 USA; [White, James W. C.; Ferretti, Dominic F.; Dreier, Mark F.] Univ Colorado, Environm Studies Program, Boulder, CO 80309 USA; [Etheridge, David M.; MacFarling, Cecelia M.; Trudinger, Cathy M.] CSIRO Atmospher Res, Aspendale, Vic 3195, Australia; [van Ommen, Tas] Australian Antarctic Div, Dept Environm &amp; Heritage, Hobart, Tas 7001, Australia; [van Ommen, Tas] Antarctic Climate &amp; Ecosyst CRC, Hobart, Tas 7001, Australia; [Ferretti, Dominic F.; Lassey, Keith R.; Lowe, David C.] Natl Inst Water &amp; Atmospher Res Ltd, Wellington, New Zealand; [MacFarling, Cecelia M.] Univ Melbourne, Sch Earth Sci, Melbourne, Vic 3010, Australia</t>
  </si>
  <si>
    <t>University of Colorado System; University of Colorado Boulder; University of Colorado System; University of Colorado Boulder; Commonwealth Scientific &amp; Industrial Research Organisation (CSIRO); Australian Antarctic Division; University of Tasmania; National Institute of Water &amp; Atmospheric Research (NIWA) - New Zealand; University of Melbourne; Melbourne Bioinformatics</t>
  </si>
  <si>
    <t>White, JWC (corresponding author), Univ Colorado, Dept Geol Sci, Boulder, CO 80309 USA.</t>
  </si>
  <si>
    <t>james.white@colorado.edu</t>
  </si>
  <si>
    <t>Etheridge, David M/B-7334-2013; Miller, John B./AAE-7714-2019; White, James W.C./A-7845-2009; Trudinger, Cathy/A-2532-2008; van Ommen, Tas/B-5020-2012</t>
  </si>
  <si>
    <t>Miller, John B./0000-0001-8630-1610; Lassey, Keith/0000-0003-0350-4215; van Ommen, Tas/0000-0002-2463-1718</t>
  </si>
  <si>
    <t>WOS:000310800000016</t>
  </si>
  <si>
    <t>Chisham, G; Lester, M; Milan, SE; Freeman, MP; Bristow, WA; Grocott, A; McWilliams, KA; Ruohoniemi, JM; Yeoman, TK; Dyson, PL; Greenwald, RA; Kikuchi, T; Pinnock, M; Rash, JPS; Sato, N; Sofko, GJ; Villain, JP; Walker, ADM</t>
  </si>
  <si>
    <t>Chisham, G.; Lester, M.; Milan, S. E.; Freeman, M. P.; Bristow, W. A.; Grocott, A.; McWilliams, K. A.; Ruohoniemi, J. M.; Yeoman, T. K.; Dyson, P. L.; Greenwald, R. A.; Kikuchi, T.; Pinnock, M.; Rash, J. P. S.; Sato, N.; Sofko, G. J.; Villain, J.-P.; Walker, A. D. M.</t>
  </si>
  <si>
    <t>A decade of the Super Dual Auroral Radar Network (SuperDARN): scientific achievements, new techniques and future directions</t>
  </si>
  <si>
    <t>SURVEYS IN GEOPHYSICS</t>
  </si>
  <si>
    <t>SuperDARN; magnetosphere; ionosphere; HF radar; ionospheric convection; magnetic reconnection; substorms; magnetic field-aligned currents; ULF waves; gravity waves; mesospheric winds; ionospheric irregularities</t>
  </si>
  <si>
    <t>INTERPLANETARY MAGNETIC-FIELD; FLUX-TRANSFER EVENTS; HIGH-LATITUDE IONOSPHERE; COHERENT HF RADARS; ATMOSPHERIC GRAVITY-WAVES; DOPPLER SPECTRAL WIDTH; E-REGION BACKSCATTER; PARTICLE-PRECIPITATION BOUNDARIES; SMALL-SCALE IRREGULARITIES; MESOSPHERE SUMMER ECHOES</t>
  </si>
  <si>
    <t>The Super Dual Auroral Radar Network (SuperDARN) has been operating as an international co-operative organization for over 10 years. The network has now grown so that the fields of view of its 18 radars cover the majority of the northern and southern hemisphere polar ionospheres. SuperDARN has been successful in addressing a wide range of scientific questions concerning processes in the magnetosphere, ionosphere, thermosphere, and mesosphere, as well as general plasma physics questions. We commence this paper with a historical introduction to SuperDARN. Following this, we review the science performed by SuperDARN over the last 10 years covering the areas of ionospheric convection, field-aligned currents, magnetic reconnection, substorms, MHD waves, the neutral atmosphere, and E-region ionospheric irregularities. In addition, we provide an up-to-date description of the current network, as well as the analysis techniques available for use with the data from the radars. We conclude the paper with a discussion of the future of SuperDARN, its expansion, and new science opportunities.</t>
  </si>
  <si>
    <t>British Antarctic Survey, NERC, Cambridge CB3 0ET, England; Univ Leicester, Dept Phys &amp; Astron, Leicester LE1 7RH, Leics, England; Univ Alaska Fairbanks, Inst Geophys, Fairbanks, AK 99775 USA; Univ Saskatchewan, Saskatoon, SK S7N 5E2, Canada; Johns Hopkins Univ, Appl Phys Lab, Laurel, MD 20723 USA; La Trobe Univ, Dept Phys, Bundoora, Vic 3086, Australia; Nagoya Univ, Solar Terr Environm Lab, Nagoya, Aichi, Japan; Univ KwaZulu Natal, Sch Phys, ZA-4041 Durban, South Africa; Natl Inst Polar Res, Tokyo 173, Japan; CNRS, LPCE, F-45071 Orleans, France</t>
  </si>
  <si>
    <t>UK Research &amp; Innovation (UKRI); Natural Environment Research Council (NERC); NERC British Antarctic Survey; University of Leicester; University of Alaska System; University of Alaska Fairbanks; University of Saskatchewan; Johns Hopkins University; Johns Hopkins University Applied Physics Laboratory; La Trobe University; Nagoya University; University of Kwazulu Natal; Research Organization of Information &amp; Systems (ROIS); National Institute of Polar Research (NIPR) - Japan; Centre National de la Recherche Scientifique (CNRS)</t>
  </si>
  <si>
    <t>Chisham, G (corresponding author), British Antarctic Survey, NERC, Madingley Rd, Cambridge CB3 0ET, England.</t>
  </si>
  <si>
    <t>gchi@bas.ac.uk</t>
  </si>
  <si>
    <t>Grocott, Adrian/A-9576-2011; Yeoman, Timothy k/L-9105-2014; Freeman, Mervyn/E-5687-2019; Walker, David/K-6906-2016</t>
  </si>
  <si>
    <t>Yeoman, Timothy k/0000-0002-8434-4825; Milan, Steve/0000-0001-5050-9604; Freeman, Mervyn/0000-0002-8653-8279; Walker, David/0000-0002-4581-752X; Greenwald, Raymond/0000-0002-7421-5536; Grocott, Adrian/0000-0002-6489-095X</t>
  </si>
  <si>
    <t>NERC [bas010021] Funding Source: UKRI; STFC [PP/E007929/1] Funding Source: UKRI; Natural Environment Research Council [bas010021] Funding Source: researchfish; Science and Technology Facilities Council [PP/E007929/1] Funding Source: researchfish</t>
  </si>
  <si>
    <t>NERC(UK Research &amp; Innovation (UKRI)Natural Environment Research Council (NERC)); STFC(UK Research &amp; Innovation (UKRI)Science &amp; Technology Facilities Council (STFC)); Natural Environment Research Council(UK Research &amp; Innovation (UKRI)Natural Environment Research Council (NERC)); Science and Technology Facilities Council(UK Research &amp; Innovation (UKRI)Science &amp; Technology Facilities Council (STFC))</t>
  </si>
  <si>
    <t>0169-3298</t>
  </si>
  <si>
    <t>1573-0956</t>
  </si>
  <si>
    <t>SURV GEOPHYS</t>
  </si>
  <si>
    <t>Surv. Geophys.</t>
  </si>
  <si>
    <t>10.1007/s10712-007-9017-8</t>
  </si>
  <si>
    <t>178BE</t>
  </si>
  <si>
    <t>WOS:000247195400002</t>
  </si>
  <si>
    <t>Bragos, O; Monteverde, R</t>
  </si>
  <si>
    <t>Kungolos, A; Brebbia, CA; Beriatos, E</t>
  </si>
  <si>
    <t>Bragos, O.; Monteverde, R.</t>
  </si>
  <si>
    <t>Urban planning, environment and citizenship participation</t>
  </si>
  <si>
    <t>SUSTAINABLE DEVELOPMENT AND PLANNING III, VOLS 1 AND 2</t>
  </si>
  <si>
    <t>WIT Transactions on Ecology and the Environment</t>
  </si>
  <si>
    <t>3rd International Conference on Sustainable Development and Planning</t>
  </si>
  <si>
    <t>APR 25-27, 2007</t>
  </si>
  <si>
    <t>Algarve, PORTUGAL</t>
  </si>
  <si>
    <t>This paper shows the procedures followed in 2003 to define urban guidelines for Ushuaia, a town of 45.000 inhabitants and capital of Tierra del Fuego Province, in the south of Patagonia. The unique features of the town, referred to as 'the town at the end of the world' or 'Land's End', were considered; these consisted of the area being the Antarctic gateway, with tourist development, improper land occupation, outstanding natural scenery and environmental risks. During the planning process different steps were taken into account: citizenship participation and its involvement with environment protection, identifying social and institutional obstacles, urban and environmental analysis, social consensus for regional diagnostic, urban guidelines and definition of structural projects. Focus was given to environmental facts taking into account high risks derived from three main questions: unruled urban expansion, fast demographic growth and recent tourism development. The planning process was ruled by five main criteria for city management and governance: articulation between day-to-day urban problems and community demands with long range urban planning; interdisciplinary approach (architects, urban planners, political scientists, economists), cooperation between public and private sectors, interconnection between different levels of government (local and provincial), economic development and environmental protection. The paper ends with an evaluation of the present situation, three years after the urban guidelines were defined.</t>
  </si>
  <si>
    <t>Inst Gest Ciudades, Rosario, Argentina</t>
  </si>
  <si>
    <t>WIT PRESS</t>
  </si>
  <si>
    <t>SOUTHAMPTON</t>
  </si>
  <si>
    <t>ASHURST LODGE, SOUTHAMPTON SO40 7AA, ASHURST, ENGLAND</t>
  </si>
  <si>
    <t>1743-3541</t>
  </si>
  <si>
    <t>978-1-84564-103-0</t>
  </si>
  <si>
    <t>WIT TRANS ECOL ENVIR</t>
  </si>
  <si>
    <t>WIT Trans. Ecol. Environ.</t>
  </si>
  <si>
    <t>10.2495/SDP071012</t>
  </si>
  <si>
    <t>Ecology; Environmental Sciences; Regional &amp; Urban Planning</t>
  </si>
  <si>
    <t>Conference Proceedings Citation Index - Science (CPCI-S); Conference Proceedings Citation Index - Social Science &amp; Humanities (CPCI-SSH)</t>
  </si>
  <si>
    <t>Environmental Sciences &amp; Ecology; Public Administration</t>
  </si>
  <si>
    <t>BGI20</t>
  </si>
  <si>
    <t>WOS:000247290100101</t>
  </si>
  <si>
    <t>Bohoyo, F; Galindo-Zaldívar, J; Jabaloy, A; Maldonado, A; Rodríguez-Fernández, J; Schreider, A; Suriñach, E</t>
  </si>
  <si>
    <t>Cunningham, WD; Mann, P</t>
  </si>
  <si>
    <t>Bohoyo, F.; Galindo-Zaldivar, J.; Jabaloy, A.; Maldonado, A.; Rodriguez-Fernandez, J.; Schreider, A.; Surinach, E.</t>
  </si>
  <si>
    <t>Extensional deformation and development of deep basins associated with the sinistral transcurrent fault zone of the Scotia-Antarctic plate boundary</t>
  </si>
  <si>
    <t>TECTONICS OF STRIKE-SLIP RESTRAINING AND RELEASING BENDS</t>
  </si>
  <si>
    <t>SHACKLETON FRACTURE-ZONE; SOUTH ORKNEY MICROCONTINENT; POWELL BASIN; TECTONIC EVOLUTION; MAGNETIC-ANOMALIES; SEISMIC STRUCTURE; TRENCH COLLISION; BRANSFIELD BASIN; TRIPLE JUNCTION; DRAKE PASSAGE</t>
  </si>
  <si>
    <t>The Scotia-Antarctic plate boundary extends along the southern branch of the, Scotia Arc, between triple junctions with the former Phoenix plate to the west (57 degrees W) and with the Sandwich plate to the east (30 degrees W). The main mechanism responsible for the present arc configuration is the development of the Scotia and Sandwich plates from 30-35 Ma, related to breakup of the continental connection between South America and the Antarctic Peninsula. The Scotia-Antarctic plate boundary is a very complex tectonic zone, because both oceanic and continental elements are involved. Present-day sinistral transcurrent motion probably began 8 Ma ago. The main active structures that we observed in the area include releasing and restraining bends, with related deep extensional and compressional basins, and probable pull-apart basins. The western sector of the plate boundary crosses fragmented continental crust: the Western South Scotia Ridge, with widespread development of pull-apart basins and releasing bends deeper than 5000 m, filled by asymmetrical sedimentary wedges. The northern border of the South Orkney microcontinent, in the central sector, has oceanic and continental crust in contact along a large thrust zone. Finally, the eastern sector of the South Scotia Ridge is located within Discovery Bank, a piece of continental crust from a former arc. On its southern border, strike-slip and normal faults produce a 5500-m-deep trough that may be interpreted as a pull-apart basin. In the eastern and western South Scotia Ridge, despite extreme continental-crustal thinning, the basins show no development of oceanic crust. This geometry is conditioned by the distinctive rheological behaviour of the crust involved, with the bulk concentration of deformation within the theologically weaker continental blocks.</t>
  </si>
  <si>
    <t>[Bohoyo, F.] Inst Geol &amp; Minero Espana, Madrid 28760, Spain; [Bohoyo, F.] British Antarctic Survey, Geol Sci Div, Cambridge CB3 0ET, England; [Surinach, E.] Univ Barcelona, Dept Geol Dinam &amp; Geofis, E-08028 Barcelona, Spain; [Galindo-Zaldivar, J.; Jabaloy, A.] Univ Granada, Dept Geodinam, E-18071 Granada, Spain; [Schreider, A.] Russian Acad Sci, PP Shirshov Oceanol Inst, Moscow 117218, Russia; [Maldonado, A.; Rodriguez-Fernandez, J.] Univ Granada, CSIC, Fac Ciencias, Inst Andaluz Ciencias Tierra, Granada 18002, Spain</t>
  </si>
  <si>
    <t>UK Research &amp; Innovation (UKRI); Natural Environment Research Council (NERC); NERC British Antarctic Survey; University of Barcelona; University of Granada; Russian Academy of Sciences; Shirshov Institute of Oceanology; Consejo Superior de Investigaciones Cientificas (CSIC); CSIC - Instituto Andaluz de Ciencias de la Tierra (IACT); University of Granada</t>
  </si>
  <si>
    <t>Bohoyo, F (corresponding author), Inst Geol &amp; Minero Espana, C La Calera 1, Madrid 28760, Spain.</t>
  </si>
  <si>
    <t>Bohoyo, Fernando/AAZ-5990-2021; Galindo-Zaldivar, Jesus/K-3640-2012; JABALOY SANCHEZ, ANTONIO/L-2955-2014; Surinach, Emma/C-5896-2008; Bohoyo, Fernando/C-1062-2011</t>
  </si>
  <si>
    <t>Bohoyo, Fernando/0000-0002-1044-8816; Galindo-Zaldivar, Jesus/0000-0002-3493-2637; JABALOY SANCHEZ, ANTONIO/0000-0001-5830-5913; Bohoyo, Fernando/0000-0002-1044-8816</t>
  </si>
  <si>
    <t>978-1-86239-238-0</t>
  </si>
  <si>
    <t>10.1144/SP290.6</t>
  </si>
  <si>
    <t>BJP42</t>
  </si>
  <si>
    <t>WOS:000266960600006</t>
  </si>
  <si>
    <t>Shelton, EJ; Tucker, H</t>
  </si>
  <si>
    <t>Shelton, Eric J.; Tucker, Hazel</t>
  </si>
  <si>
    <t>MANAGED TO BE WILD: SPECIES RECOVERY, ISLAND RESTORATION, AND NATURE-BASED TOURISM IN NEW ZEALAND</t>
  </si>
  <si>
    <t>TOURISM REVIEW INTERNATIONAL</t>
  </si>
  <si>
    <t>Narrative; Nature-based tourism; Conservation; New Zealand; Endangered species; Environmental history</t>
  </si>
  <si>
    <t>New Zealand and its sub-Antarctic dependencies had an abundance of birdlife, endemic flora, and invertebrates but no terrestrial mammals before the arrival of Homo sapiens. Subsequent mammalian imports have severely adversely affected the endemic and native fauna and flora. In response to the impossibility of nationwide mammalian predator eradication, endangered species are transferred to relatively safe environments: either offshore islands or mainland islands. Individuals of species at risk in their traditional environments can be transferred to one or more of these islands. New Zealand has pioneered this form of restoration program and substantial nature-based tourism occurs in these settings. Traditional binaries such as captive/free and captivity/wild are problematic because these descriptors do not capture the nature and range of the possible environments and experiences provided by islands. It is proposed that a more useful descriptive and analytic framework involves focusing on the matrix of power relationships that exist between native and endemic fauna and flora, introduced fauna and flora, and groups of humans. Furthermore, it is argued that such a focus usefully reformulates longstanding controversies within conservation, highlights the utility of a restoration narrative, and promotes the development of sustainable nature-based tourism.</t>
  </si>
  <si>
    <t>[Shelton, Eric J.; Tucker, Hazel] Univ Otago, Tourism Dept, POB 56, Dunedin, New Zealand</t>
  </si>
  <si>
    <t>University of Otago</t>
  </si>
  <si>
    <t>Shelton, EJ (corresponding author), Univ Otago, Tourism Dept, POB 56, Dunedin, New Zealand.</t>
  </si>
  <si>
    <t>eshelton@business.otago.ac.nz</t>
  </si>
  <si>
    <t>COGNIZANT COMMUNICATION CORP</t>
  </si>
  <si>
    <t>PUTNAM VALLEY</t>
  </si>
  <si>
    <t>18 PEEKSKILL HOLLOW RD, PO BOX 37, PUTNAM VALLEY, NY 10579 USA</t>
  </si>
  <si>
    <t>1544-2721</t>
  </si>
  <si>
    <t>1943-4421</t>
  </si>
  <si>
    <t>TOUR REV INT</t>
  </si>
  <si>
    <t>Tour. Rev. Int.</t>
  </si>
  <si>
    <t>10.3727/154427207783948793</t>
  </si>
  <si>
    <t>Hospitality, Leisure, Sport &amp; Tourism</t>
  </si>
  <si>
    <t>Social Sciences - Other Topics</t>
  </si>
  <si>
    <t>V02AV</t>
  </si>
  <si>
    <t>WOS:000213643600002</t>
  </si>
  <si>
    <t>Strassmeier, KG; Andersen, MI; Granzer, T; Korhonen, H</t>
  </si>
  <si>
    <t>Afonso, C; Weldrake, D; Henning, T</t>
  </si>
  <si>
    <t>Strassmeier, K. G.; Andersen, M. I.; Granzer, T.; Korhonen, H.</t>
  </si>
  <si>
    <t>The International Concordia Explorer Telescope (ICE-T): an Ultimate Transit-Search Experiment for Dome C</t>
  </si>
  <si>
    <t>TRANSITING EXTRASOLAR PLANETS WORKSHOP</t>
  </si>
  <si>
    <t>Transiting Extrasolar Planets Workshop</t>
  </si>
  <si>
    <t>SEP 25-28, 2006</t>
  </si>
  <si>
    <t>Max Planck Inst Astron, Heidelberg, GERMANY</t>
  </si>
  <si>
    <t>Max Planck Inst Astron</t>
  </si>
  <si>
    <t>ICE-T is a fully robotic telescope for astrophysics and atmospheric research for the Antarctic station Concordia at Dome C. ICE-T consists of two 60cm optical ultra-wide-field Schmidt telescopes and one 18cm narrow-field Maksutov spectrophotometric telescope on a single mount. The dual 60cm will be mainly used for a transit search due to extrasolar planets while the 18-cm will be used for measuring aerosol optical depths. ICE-T is a team effort of the German Alfred-Wegener-Institute for Polar Research, the Italian Universities of Padova and Perugia, the INAF Observatory Catania, and the Catalonian IEEC in Barcelona, Spain, and the AIP with collaboration from the University of New South Wales, Australia and the University of St Andrews, U.K..</t>
  </si>
  <si>
    <t>[Strassmeier, K. G.] AIP, D-14482 Potsdam, Germany</t>
  </si>
  <si>
    <t>Leibniz Institut fur Astrophysik Potsdam (AIP)</t>
  </si>
  <si>
    <t>Strassmeier, KG (corresponding author), AIP, D-14482 Potsdam, Germany.</t>
  </si>
  <si>
    <t>Korhonen, Heidi H./E-3065-2016; Korhonen, Heidi/AAZ-5747-2020; Andersen, Michael/H-6403-2018</t>
  </si>
  <si>
    <t>Korhonen, Heidi H./0000-0003-0529-1161; Korhonen, Heidi/0000-0003-0529-1161;</t>
  </si>
  <si>
    <t>978-1-583812-34-1</t>
  </si>
  <si>
    <t>BGJ12</t>
  </si>
  <si>
    <t>WOS:000247385200059</t>
  </si>
  <si>
    <t>Shaikh, D; Zank, GP</t>
  </si>
  <si>
    <t>Abel, Gary A.; Freeman, Mervyn. P.; Chisham, Gareth; Watkins, Nicholas W.</t>
  </si>
  <si>
    <t>Investigating the turbulent structure of ionospheric plasma velocities on open and closed magnetic field lines</t>
  </si>
  <si>
    <t>TURBULENCE AND NONLINEAR PROCESSES IN ASTROPHYSICAL PLASMAS</t>
  </si>
  <si>
    <t>6th Annual International Astrophysics Conference</t>
  </si>
  <si>
    <t>MAR 16-22, 2007</t>
  </si>
  <si>
    <t>Oahu, HI</t>
  </si>
  <si>
    <t>ionosphere; turbulence; SuperDARN</t>
  </si>
  <si>
    <t>SUPERDARN; FLUCTUATIONS; TIME; CUSP</t>
  </si>
  <si>
    <t>In this paper we review some recent work investigating the turbulent structure of the ionospheric plasma velocity in the polar and auroral regions. The studies make use of spatially distributed measurements of the ionospheric plasma velocity made with the Halley Super Dual Auroral Radar Network (SuperDARN) radar between 1996 and 2003. The spatial structure is analyzed using structure functions, which provide a simple method for deriving information about the scaling and intermittency of the fluctuations that can be used to differentiate between different turbulence models. Evidence for scale-free structure in regions of both open and closed magnetic field line topology is found, though with different power-law exponents. It is suggested that these different exponents arise as a result of different origins of the scale-free structure in the different regions, i.e., that seen on open magnetic field lines is a reflection of the spatial structure of the solar wind and that seen on closed magnetic field lines is dictated by the internal dynamics of the magnetosphere-ionosphere system. It is found that the limited range of velocities that can be measured by the Halley SuperDARN radar restricts the ability to calculate structure functions, though this can be corrected for by using conditioning (removing velocity fluctuations larger than 3 standard deviations from our calculations). The resultant structure functions suggest that Kraichnan-Iroshnikov versions of P and log-normal models of turbulence best describe the velocity structure seen in the nightside F-region ionosphere, poleward of the open-closed magnetic field line boundary (OCB), i.e., in regions magnetically connected to the turbulent solar wind.</t>
  </si>
  <si>
    <t>[Abel, Gary A.; Freeman, Mervyn. P.; Chisham, Gareth; Watkins, Nicholas W.] British Antarctic Survey, Madingley Rd, Cambridge CB3 0ET, England</t>
  </si>
  <si>
    <t>Abel, GA (corresponding author), British Antarctic Survey, Madingley Rd, Cambridge CB3 0ET, England.</t>
  </si>
  <si>
    <t>Abel, Gary/ABE-1765-2021; Watkins, Nick/GPX-7439-2022; Watkins, Nicholas Wynn/C-5140-2008; Freeman, Mervyn/E-5687-2019</t>
  </si>
  <si>
    <t>Abel, Gary/0000-0003-2231-5161; Watkins, Nick/0000-0003-4484-6588; Watkins, Nicholas Wynn/0000-0003-4484-6588; Freeman, Mervyn/0000-0002-8653-8279</t>
  </si>
  <si>
    <t>978-0-7354-0443-4</t>
  </si>
  <si>
    <t>Astronomy &amp; Astrophysics; Physics, Fluids &amp; Plasmas</t>
  </si>
  <si>
    <t>BGX51</t>
  </si>
  <si>
    <t>WOS:000251152400042</t>
  </si>
  <si>
    <t>Hamilton, WB</t>
  </si>
  <si>
    <t>Sears, JW; Harms, TA; Evenchick, CA</t>
  </si>
  <si>
    <t>Hamilton, Warren B.</t>
  </si>
  <si>
    <t>Driving mechanism and 3-D circulation of plate tectonics</t>
  </si>
  <si>
    <t>WHENCE THE MOUNTAINS? INQUIRIES INTO THE EVOLUTION OF OROGENIC SYSTEMS: A VOLUME IN HONOR OF RAYMOND A. PRICE</t>
  </si>
  <si>
    <t>forearc basins; geodynamics; global tectonics; plate tectonics; rollback; seafloor spreading; subduction</t>
  </si>
  <si>
    <t>BACK-ARC EXTENSION; SUMATRA-ANDAMAN EARTHQUAKE; FORE-ARC; CRUSTAL STRUCTURE; SUBDUCTION ZONES; MANTLE PLUMES; GLOBAL DEPTH; HEAT-FLOW; MANILA TRENCH; EVOLUTION</t>
  </si>
  <si>
    <t>A conceptual shift is overdue in geodynamics. Popular models that present plate tectonics as being driven by bottom-heated whole-mantle convection, with or without plumes, are based on obsolete assumptions, are contradicted by much evidence, and fail to account for observed plate interactions. Subduction-hinge rollback is the key to viable mechanisms. The Pacific spreads rapidly yet shrinks by rollback, whereas the subduction-free Atlantic widens by slow mid-ocean spreading. These and other first-order features of global tectonics cannot be explained by conventional models. The behavior of arcs and the common presence of forearc basins on the uncrumpled thin leading edges of advancing arcs and continents are among features indicating that subduction provides the primary drive for both upper and lower plates. Subduction rights the density inversion that is produced when asthenosphere is cooled to oceanic lithosphere: plate tectonics is driven by top-down cooling but is enabled by heat. Slabs sink more steeply than they dip and, if old and dense, are plated down on the 660 km discontinuity. Broadside-sinking slabs push all sublithosphere oceanic upper mantle inward, forcing rapid spreading in shrinking oceans. Down-plated slabs are overpassed by advancing arcs and plates, and thus transferred to enlarging oceans and backarc basins. Plate motions make sense in terms of this subduction drive in a global framework in which the ridge-bounded Antarctic plate is fixed: most subduction hinges roll back in that frame, plates move toward subduction zones, and ridges migrate to tap fresh asthenosphere. This self-organizing kinematic system is driven from the top. Slabs probably do not subduct into, nor do plumes rise to the upper mantle from, the sluggish deep mantle.</t>
  </si>
  <si>
    <t>Colorado Sch Mines, Dept Geophys, Golden, CO 80401 USA</t>
  </si>
  <si>
    <t>Colorado School of Mines</t>
  </si>
  <si>
    <t>Hamilton, WB (corresponding author), Colorado Sch Mines, Dept Geophys, Golden, CO 80401 USA.</t>
  </si>
  <si>
    <t>whamilto@mines.edu</t>
  </si>
  <si>
    <t>978-0-8137-2433-1</t>
  </si>
  <si>
    <t>10.1130/2007.2433(01)</t>
  </si>
  <si>
    <t>BLX51</t>
  </si>
  <si>
    <t>WOS:000271292800003</t>
  </si>
  <si>
    <t>Storey, JWV; Lawrence, JS; Ashley, MCB</t>
  </si>
  <si>
    <t>CruzGonzalez, I; Echevarria, J; Hiriart, D</t>
  </si>
  <si>
    <t>Storey, J. W. V.; Lawrence, J. S.; Ashley, M. C. B.</t>
  </si>
  <si>
    <t>Site-testing in Antarctica</t>
  </si>
  <si>
    <t>WORKSHOP ON ASTRONOMICAL SITE EVALUATION</t>
  </si>
  <si>
    <t>Revista Mexicana de Astronomia y Astrofisica-Serie de Conferencias</t>
  </si>
  <si>
    <t>Workshop on Astronomical Site Evaluation</t>
  </si>
  <si>
    <t>MAR 13-15, 2007</t>
  </si>
  <si>
    <t>San Pedro Martir, MEXICO</t>
  </si>
  <si>
    <t>atmosphic effects; site testing</t>
  </si>
  <si>
    <t>DOME-C; SOUTH-POLE; SKY BRIGHTNESS; SEEING MEASUREMENTS; ASTRONOMY; PLATEAU</t>
  </si>
  <si>
    <t>Sites on the Antarctic Plateau such as Dome A, Dome C and South Pole, offer unique and exceptionally favourable conditions for astronomy. Site testing over the past decade has revealed extremely low infrared backgrounds, low water vapour, excellent infrared transmission and very low levels of atmospheric turbulence. Although several large facilities have already been built in Antarctica and plans for many more are well underway, there is still much to learn about this unique and beautiful place.</t>
  </si>
  <si>
    <t>[Storey, J. W. V.; Lawrence, J. S.; Ashley, M. C. B.] Univ New S Wales, Sch Phys, Sydney, NSW 2052, Australia</t>
  </si>
  <si>
    <t>Storey, JWV (corresponding author), Univ New S Wales, Sch Phys, Sydney, NSW 2052, Australia.</t>
  </si>
  <si>
    <t>j.storey@unsw.edu.au</t>
  </si>
  <si>
    <t>Lawrence, Jon/0000-0002-6998-6993; Ashley, Michael/0000-0003-1412-2028</t>
  </si>
  <si>
    <t>UNIVERSIDAD NACIONAL AUTONOMA MEXICO INSTITUTO ASTRONOMIA</t>
  </si>
  <si>
    <t>MEXICO CITY</t>
  </si>
  <si>
    <t>APARTADO POSTAL 70-264, MEXICO CITY 04510, MEXICO</t>
  </si>
  <si>
    <t>1405-2059</t>
  </si>
  <si>
    <t>978-970-32-3276-5</t>
  </si>
  <si>
    <t>REV MEX AST ASTR</t>
  </si>
  <si>
    <t>BHI40</t>
  </si>
  <si>
    <t>WOS:000253414900004</t>
  </si>
  <si>
    <t>Taylor, S; Matrajt, G; Lever, JH; Joswiak, DJ; Brownlee, DE</t>
  </si>
  <si>
    <t>ESA</t>
  </si>
  <si>
    <t>Taylor, S.; Matrajt, G.; Lever, J. H.; Joswiak, D. J.; Brownlee, D. E.</t>
  </si>
  <si>
    <t>Size distribution of antarctic micrometeorites</t>
  </si>
  <si>
    <t>WORKSHOP ON DUST IN PLANETARY SYSTEMS</t>
  </si>
  <si>
    <t>ESA Special Publications</t>
  </si>
  <si>
    <t>Workshop on Dust in Planetary Systems</t>
  </si>
  <si>
    <t>SEP 26-30, 2005</t>
  </si>
  <si>
    <t>Kauai, HI</t>
  </si>
  <si>
    <t>ACCRETION RATE; DUST; ICE</t>
  </si>
  <si>
    <t>Micrometeorites collected from the South Pole water well in 1995 and 2000 have terrestrial depositional ages of 1100-1500 AD and 800-1100 AD respectively. We measured a size distribution for micrometeorites collected in 2000. Compared to the size distribution measured in 1995 the tail slopes of the size distributions are the same. However the 2000 collection has twice as many micrometcorites and proportionally more large micrometeorites. We also tabulate the unmelted-to-melted ratio for micrometeorites in five size ranges and compare the results with previous collections. The unmelted-to-melted ratios obtained for this collection are similar to those from Greenland and an Antarctic collection of present-day micrometeorites. Collections from older Antarctic ice show larger and more variable ratios.</t>
  </si>
  <si>
    <t>[Taylor, S.; Lever, J. H.] Cold Reg Res &amp; Engn Lab, 72 Lyme Rd, Hanover, NH 03755 USA; [Matrajt, G.; Joswiak, D. J.; Brownlee, D. E.] Univ Washington, Dept Astron, Seattle, WA 98195 USA</t>
  </si>
  <si>
    <t>United States Department of Defense; United States Army; U.S. Army Corps of Engineers; U.S. Army Engineer Research &amp; Development Center (ERDC); Cold Regions Research &amp; Engineering Laboratory (CRREL); University of Washington; University of Washington Seattle</t>
  </si>
  <si>
    <t>Taylor, S (corresponding author), Cold Reg Res &amp; Engn Lab, 72 Lyme Rd, Hanover, NH 03755 USA.</t>
  </si>
  <si>
    <t>Susan.Taylor@erdc.usace.army.mil</t>
  </si>
  <si>
    <t>Matrajt, Graciela/A-4812-2017</t>
  </si>
  <si>
    <t>South Pole water well; NASA</t>
  </si>
  <si>
    <t>South Pole water well; NASA(National Aeronautics &amp; Space Administration (NASA))</t>
  </si>
  <si>
    <t>We thank NSF (Dr. Julie Palais program manager) for funding the collection of micrometeorites from the South Pole water well and NASA (Dr. David Lind- strom program manager) for funding the analysis of the 2000 collection. We also thank Sarah Elliott for imaging several hundred of these micrometeorites, Dr. Charles Daghlian and Dartmouth College for use of the SEM and Dr. Cecile Engrand for reviewing the paper and for her helpful suggestions.</t>
  </si>
  <si>
    <t>ESA PUBLICATIONS DIVISION C/O ESTEC</t>
  </si>
  <si>
    <t>2200 AG NOORDWIJK</t>
  </si>
  <si>
    <t>PO BOX 299, 2200 AG NOORDWIJK, NETHERLANDS</t>
  </si>
  <si>
    <t>0379-6566</t>
  </si>
  <si>
    <t>978-92-9092-207-0</t>
  </si>
  <si>
    <t>ESA SPEC PUBL</t>
  </si>
  <si>
    <t>BGB26</t>
  </si>
  <si>
    <t>WOS:000245892600025</t>
  </si>
  <si>
    <t>Dapiaggi, M; Sala, M; Artioli, G; Fransen, MJ</t>
  </si>
  <si>
    <t>Dapiaggi, M.; Sala, M.; Artioli, G.; Fransen, M. J.</t>
  </si>
  <si>
    <t>Evaluation of the phase detection limit on filter-deposited dust particles from Antarctic ice cores</t>
  </si>
  <si>
    <t>ZEITSCHRIFT FUR KRISTALLOGRAPHIE</t>
  </si>
  <si>
    <t>10th European Powder Diffraction Conference</t>
  </si>
  <si>
    <t>SEP 01-04, 2006</t>
  </si>
  <si>
    <t>Univ Geneva, Geneva, SWITZERLAND</t>
  </si>
  <si>
    <t>Univ Geneva</t>
  </si>
  <si>
    <t>powder diffraction; detection limit; mineral dust; Antarctic ice; past climate</t>
  </si>
  <si>
    <t>EAST ANTARCTICA; DOME-C; EPICA; MINERALOGY</t>
  </si>
  <si>
    <t>The present investigation attempts optimization of laboratory X-ray powder diffractometry to investigate very small amount of filter-deposited mineral materials. Extensive tests were performed to select the optimal experimental conditions in reflection geornetry. The results indicate that phase quantification can be performed down to 1-2 pg of absolute mass of each phase. The defined experimental protocols were successfully applied to the quantification of mineral phases contained in very small amounts (total mass in the range 10-15 mu g) of polyphasic dust samples extracted frorn Antarctic ice cores.</t>
  </si>
  <si>
    <t>[Dapiaggi, M.; Sala, M.; Artioli, G.] Univ Milan, Dipartimento Sci Terra A Desio, I-20133 Milan, Italy; [Sala, M.] Museo Nazl Antartide, I-53100 Siena, Italy; [Fransen, M. J.] PANalytical, NL-7602 EA Almelo, Netherlands</t>
  </si>
  <si>
    <t>University of Milan</t>
  </si>
  <si>
    <t>Dapiaggi, M (corresponding author), Univ Milan, Dipartimento Sci Terra A Desio, Via Botticelli 23, I-20133 Milan, Italy.</t>
  </si>
  <si>
    <t>monica.dapiaggi@unimi.it</t>
  </si>
  <si>
    <t>Dapiaggi, Monica/A-2479-2014; Sala, Maria/H-2562-2013; Artioli, Gilberto/F-2149-2015</t>
  </si>
  <si>
    <t>Dapiaggi, Monica/0000-0002-7815-3213; Sala, Maria/0000-0002-9955-8746; Artioli, Gilberto/0000-0002-8693-7392</t>
  </si>
  <si>
    <t>OLDENBOURG VERLAG</t>
  </si>
  <si>
    <t>LEKTORAT MINT, POSTFACH 80 13 60, D-81613 MUNICH, GERMANY</t>
  </si>
  <si>
    <t>0044-2968</t>
  </si>
  <si>
    <t>Z KRISTALLOGR</t>
  </si>
  <si>
    <t>Z. Kristall.</t>
  </si>
  <si>
    <t>Crystallography</t>
  </si>
  <si>
    <t>341XH</t>
  </si>
  <si>
    <t>WOS:000258748400012</t>
  </si>
  <si>
    <t>Egorova, EN</t>
  </si>
  <si>
    <t>Egorova, E. N.</t>
  </si>
  <si>
    <t>New data against the bipolar status of the genus Amauropsis (Naticidae, Mollusca) with a description of the new genus Pseudamauropsis from Antarctic region</t>
  </si>
  <si>
    <t>ZOOLOGICHESKY ZHURNAL</t>
  </si>
  <si>
    <t>Russian</t>
  </si>
  <si>
    <t>The history and possibility of including the northern genus Amauropsis into the group of antarctic species were studied. The comparison of antarctic and northern Amauropsis showed their definite distinctions: in most southern mollusks, shells are reliably more rounded in shape than those in arctic ones. In the latter, shells have compressed or moderately inflated whorls. The impressed suture is typical for the most part of antarctic species contrary to the distinctly channeled suture in shells of northern species. The true impressed suture is typical for eight of ten antarctic species. The weakly channeled shells were described in literature for few antarctic species. An additional material is needed to support this assertion. There are some other differences between shells of southern and northern species, the certainty of which was not sustained by the results of the morphometric analysis. Nevertheless, they are easily observable: the aperture of arctic mollusks is narrower and with a rounded apex formed by the external edge of convex shoulder and a slightly curved S-like inner lip in contrast to the aperture in antarctic species. Shells of A. istandica are with the narrow pariental callus and indistinct umbilical callus. Antarctic species are characterized by the moderately wide in the upper part pariental callus and small, but distinct umbilical callus. Chitinous operculums of northern and southern species can be distinguished by the growth rate of the first whorls and few distinctions between their diameters. Additional morphometric data are necessary to support this statement. All these peculiar features testify to the fact that antarctic and sub-antarctic species may be united into the new genus Pseudamauropsis. The latter might be related to the genus Amauropsis in the remote past.</t>
  </si>
  <si>
    <t>Egorova, EN (corresponding author), Russian Acad Sci, Inst Zool, St Petersburg 199034, Russia.</t>
  </si>
  <si>
    <t>antmol@zin.ru</t>
  </si>
  <si>
    <t>Egorova, Ekaterina N/T-5737-2018</t>
  </si>
  <si>
    <t>MAIK NAUKA-INTERPERIODICA PUBL</t>
  </si>
  <si>
    <t>MOSCOW</t>
  </si>
  <si>
    <t>GSP-1, MARONOVSKII PER 26, MOSCOW, 119049, RUSSIA</t>
  </si>
  <si>
    <t>0044-5134</t>
  </si>
  <si>
    <t>ZOOL ZH</t>
  </si>
  <si>
    <t>Zool. Zhurnal</t>
  </si>
  <si>
    <t>145VE</t>
  </si>
  <si>
    <t>WOS:000244893100002</t>
  </si>
  <si>
    <t>Bockheim, JG; McLeod, M</t>
  </si>
  <si>
    <t>Bockheim, J. G.; McLeod, M.</t>
  </si>
  <si>
    <t>Soil formation in Wright Valley, Antarctica since the Late Neogene</t>
  </si>
  <si>
    <t>GEODERMA</t>
  </si>
  <si>
    <t>soil chronosequence; cold desert soils; dry valleys; soil classification; gelisols</t>
  </si>
  <si>
    <t>MCMURDO DRY VALLEYS; VICTORIA-LAND; GLACIER; PALEOCLIMATE; GLACIATION; DEPOSITS; EASTERN; REGION; LEVEL; RATES</t>
  </si>
  <si>
    <t>We investigated over 180 soil profiles on 15 drift units ranging from Recent to Pliocene or older in age in Wright Valley, Antarctica. The drifts originate from (1) post-valley cutting by an advance of the East Antarctic Ice Sheet, (2) advances of the Wright Lower Glacier from grounding of ice in the Ross Embayment, and (3) advance, of alpine glaciers along the south valley wall. Holocene and LGM soils lack staining (from oxidation of iron-bearing minerals) and visible salts, contain ice or ice-cemented permafrost in the upper 0.5 m, and are classified as Glacic or Typic Haploturbels. Other soils of late Quaternary age are stained to &lt; 10 cm, contain ice-cemented permafrost in the upper 0.5 in, have stage 1 salts (encrustations beneath surface clasts) and &lt; 1000 mg salts cm(-2) in the upper 70 ern of profile, and are classified as Typic Haploturbels. Soils of mid-late Quaternary age are stained to 20 cm, have ice-cemented permafrost at depths in excess of 1 m and stage 2 salts (flecks and patches covering &lt; 20% of the profile face), contain 1000-1700 mg salts cm(-2), and are classified as Typic Anhyorthels. Soils of early Quaternary to late Pliocene age are oxidized to depths &gt; 30 cm, have stage 3 salts (flecks and patches covering &gt; 20% of the profile face), contain 4000-4200 mg salts cm(-2), and are classified as Salic Anhyorthels. Soils of Pliocene age are deeply oxidized (&gt; 50 cm), have stage 5-6 salts (strongly cemented or indurated salt pans), contain 5000-7000 mg salts cm(-2), and are classified as Petrosalic Anhyorthels. Soils of early Pliocene or older age do not show the degree of development of younger soils because they are derived from Peleus till which contains highly erosive, fine-sandy, quartz-rich rock. Our data question the notion of high-level Antarctic lakes occupying most of the valley during the LGM and early Holocene. (c) 2006 Elsevier B.V. All rights reserved.</t>
  </si>
  <si>
    <t>Univ Wisconsin, Dept Soil Sci, Madison, WI 53706 USA; Landcare Res, Hamilton, New Zealand</t>
  </si>
  <si>
    <t>University of Wisconsin System; University of Wisconsin Madison; Landcare Research - New Zealand</t>
  </si>
  <si>
    <t>Bockheim, JG (corresponding author), Univ Wisconsin, Dept Soil Sci, 1525 Observ Dr, Madison, WI 53706 USA.</t>
  </si>
  <si>
    <t>bockheim@wisc.edu</t>
  </si>
  <si>
    <t>0016-7061</t>
  </si>
  <si>
    <t>1872-6259</t>
  </si>
  <si>
    <t>Geoderma</t>
  </si>
  <si>
    <t>DEC 31</t>
  </si>
  <si>
    <t>10.1016/j.geoderma.2006.08.028</t>
  </si>
  <si>
    <t>127QI</t>
  </si>
  <si>
    <t>WOS:000243601000011</t>
  </si>
  <si>
    <t>Caramés, A; Malumián, N</t>
  </si>
  <si>
    <t>Carames, Andrea; Malumian, Norberto</t>
  </si>
  <si>
    <t>The family Rzehakinidae (Foraminifera) from the Upper Cretaceous-Paleogene of the Austral Basin and the adjacent Atlantic continental shelf, Argentina.</t>
  </si>
  <si>
    <t>AMEGHINIANA</t>
  </si>
  <si>
    <t>Rzehakinidae; Upper Cretaceous; Paleogene; Argentina</t>
  </si>
  <si>
    <t>BENTHIC FORAMINIFERA; BIOSTRATIGRAPHY; PALEOCENE; PALEOENVIRONMENTS</t>
  </si>
  <si>
    <t>The stratigraphic and paleoenvironmental significance of the Rzehakinidae in the widespread Cretaceous-Paleogene agglutinated foraminifera assemblages of southernmost South America, particularly the Austral Basin, is reviewed. Rzeliakina epigona (Rzehak), R. lata Cushman y Jarvis and transitional forms are found in the Bahia Thetis Formation (Upper Campanian-? Lower Maastrichtian); scarce specimens of R. fissistomata (Grzybowski), in the Bahia Thetis Formation, in the Maastrichtian part of the Policarpo Formation and in the Punta Torcida Formation (Lower Eocene). More delicate and small size, evolute and thin walled forms assigned to R. minitria Cushman y Renz occur from the upper Campanian up to the Punta Noguera Formation (uppermost Paleocene/ lowermost Eocene), becoming widespread and abundant in the Inoceramus Superior, Arcillas Fragmentosas and Senoniano (Maastrichtian-Paleocene? subsurface beds). Few specimens of Spirosigmoilinella naibensis Turenko ? are recorded from the Lopez de Bertodano Formation (lower Upper Maastrichtian) in the Antarctic Peninsula, the Rio Claro (Upper Paleocene) and Rio Bueno (lower Middle Eocene) Formations in Tierra del Fuego Island. Spirosigniodinella compressa Matsunaga is abundant in Patagonia from the upper Oligocene up to the lower Miocene, and has its oldest record in Tierra del Fuego Island, in the lowest Oligocene, between the last ocurrences of Isthmolithus recurvus Deflandre and Subbotina angiporoides angiporoides (Hornibrook). Silicosigmoilina angiista Turenko is recorded from the Policarpo and the Rio Claro Formations. Typically all these genera are mostly restricted to clastic deep settings of the Andean thrusted and folded belt. The genus Miliammina is recorded in an almost monospecific assemblage of shallow water environment from the Cerro Cazador Formation (Upper Campanian).</t>
  </si>
  <si>
    <t>Consejo Nacl Invest Cient &amp; Tecn, Serv Geol Minero Argentino, RA-07 Buenos Aires, DF, Argentina</t>
  </si>
  <si>
    <t>Caramés, A (corresponding author), Consejo Nacl Invest Cient &amp; Tecn, Serv Geol Minero Argentino, Benjamin Juan Lavaisse 1194, RA-07 Buenos Aires, DF, Argentina.</t>
  </si>
  <si>
    <t>ASOCIACION PALEONTOLOGICA ARGENTINA</t>
  </si>
  <si>
    <t>BUENOS AIRES</t>
  </si>
  <si>
    <t>MAIPU 645, 1ER PISO, 1006 BUENOS AIRES, ARGENTINA</t>
  </si>
  <si>
    <t>0002-7014</t>
  </si>
  <si>
    <t>1851-8044</t>
  </si>
  <si>
    <t>Ameghiniana</t>
  </si>
  <si>
    <t>DEC 30</t>
  </si>
  <si>
    <t>141AR</t>
  </si>
  <si>
    <t>WOS:000244548900002</t>
  </si>
  <si>
    <t>Varriale, A; Bernardi, G</t>
  </si>
  <si>
    <t>Varriale, Annalisa; Bernardi, Giorgio</t>
  </si>
  <si>
    <t>DNA methylation and body temperature in fishes</t>
  </si>
  <si>
    <t>GENE</t>
  </si>
  <si>
    <t>6th Anton Dohrn Workshop</t>
  </si>
  <si>
    <t>OCT 31-NOV 02, 2005</t>
  </si>
  <si>
    <t>Ischia, ITALY</t>
  </si>
  <si>
    <t>methylcytosine; deamination; genome composition; thermostability</t>
  </si>
  <si>
    <t>COLD-BLOODED VERTEBRATES; DENSITY GRADIENT CENTRIFUGATION; LIQUID-CHROMATOGRAPHY; ANTARCTIC FISHES; 5-METHYLCYTOSINE CONTENT; CPG ISLANDS; ANIMAL DNA; GENOMES; EVOLUTION; ISOCHORES</t>
  </si>
  <si>
    <t>Previous investigations from our laboratory [Jabbari, K., Caccio, S., Pais de Barros, J.P., Desgres, J., Bernardi G., 1997. Evolutionary changes in CpG and methylation levels in the genome of vertebrates. Gene 205, 109-118.] led to the discovery of two different methylation levels in the genomes of vertebrates, a higher one exhibited by fishes and amphibians and a lower one shown by mammals and birds. It was also noted that data from the literature indicated a higher CpG level in fishes and amphibians compared to mammals and birds. Such observations led to suggesting the existence of two equilibria and to speculate that the transitions between the two equilibria in DNA methylation and CpG levels were due to a higher deamination rate in warm-blooded vertebrates related to their higher body temperature. Here we used Reverse-Phase High-Performance Liquid Chromatography (RP-HPLC) analysis to study methylation levels in a number of fish genomes living at different temperatures. We found that polar fishes exhibit DNA methylation levels that are higher than those of tropical and temperate fishes, the latter being in turn higher than the methylation levels of warm-blooded vertebrates, as expected from previous work. A closer analysis of the data revealed that, among Antarctic fishes, the Channichthyidae (the icefishes, deprived of haemoglobin) had the highest methylation level, and that, among temperate and tropical fishes the latter showed the lowest methylation level. These results confirm the existence of an inverse relationship between DNA methylation and body temperature, when the latter is maintained over evolutionary times. (c) 2006 Elsevier B.V. All rights reserved.</t>
  </si>
  <si>
    <t>Staz Zool Anton Dohrn, Lab Mol Evolut, I-80121 Naples, Italy</t>
  </si>
  <si>
    <t>Stazione Zoologica Anton Dohrn di Napoli</t>
  </si>
  <si>
    <t>Bernardi, G (corresponding author), Staz Zool Anton Dohrn, Lab Mol Evolut, I-80121 Naples, Italy.</t>
  </si>
  <si>
    <t>bernardi@szn.it</t>
  </si>
  <si>
    <t>Bernardi, Giorgio/G-1639-2011</t>
  </si>
  <si>
    <t>0378-1119</t>
  </si>
  <si>
    <t>1879-0038</t>
  </si>
  <si>
    <t>Gene</t>
  </si>
  <si>
    <t>10.1016/j.gene.2006.05.031</t>
  </si>
  <si>
    <t>Genetics &amp; Heredity</t>
  </si>
  <si>
    <t>122EL</t>
  </si>
  <si>
    <t>WOS:000243208400015</t>
  </si>
  <si>
    <t>Verde, C; Parisi, E; di Prisco, G</t>
  </si>
  <si>
    <t>Verde, Cinzia; Parisi, Elio; di Prisco, Guido</t>
  </si>
  <si>
    <t>The evolution of thermal adaptation in polar fish</t>
  </si>
  <si>
    <t>Antarctica; Arctic; fish; Notothenioidei; hemoglobin; Bohr/root effect; globin gene</t>
  </si>
  <si>
    <t>FUNCTIONALLY DISTINCT HEMOGLOBINS; ANTARCTIC NOTOTHENIOID FISH; TREMATOMUS-NEWNESI; CRYSTAL-STRUCTURE; OXYGEN SECRETION; GLOBIN GENES; ICEFISHES; TELEOST; BINDING; DIVERSITY</t>
  </si>
  <si>
    <t>Given the unique thermal history of the Antarctic continent, fishes of dominant suborder Notothenioidei offer a remarkable opportunity to study the physiological and biochemical characters gained and, conversely, lost during their evolutionary history and to map this information on the species phylogenetic trees. The availability of phylogenetically related notothenioid taxa living in a wide range of latitudes (in the Antarctic, sub-Antarctic and temperate regions) allows to look into the molecular bases of environmentally driven gene birth and death. This evolutionary perspective has also been supported by comparison of some features of the hemoprotein devoted to the oxygen transport in fish species living in the other polar region, the Arctic. The Arctic and Antarctic marine ichthyofaunas differ by age and isolation. Fishes of the two polar regions have undergone different regional histories which have engineered the physiological diversities, so that Antarctic fish are much more stenothermal than Arctic ones. Understanding the mechanisms of phenotypic response to cold exposure in species living at different latitudes in polar habitats offers fundamental insights into environmental adaptations. This review aims at surveying the current knowledge of molecular structure, functional features, phylogeny and adaptations of the hemoglobin of fish thriving in the Antarctic, sub-Antarctic and Arctic regions (with some excursions in the temperate latitudes). Investigating the evolutionary adaptations of hemoglobins to these environments can provide new insights into adaptation currently studied merely in temperate organisms, and can shed light into the convergent processes that evolved in response to thermal adaptations. (c) 2006 Elsevier B.V All rights reserved.</t>
  </si>
  <si>
    <t>CNR, Inst Prot Biochem, I-80131 Naples, Italy</t>
  </si>
  <si>
    <t>Consiglio Nazionale delle Ricerche (CNR); Istituto di Biochimica delle Proteine (IBP-CNR)</t>
  </si>
  <si>
    <t>Verde, C (corresponding author), CNR, Inst Prot Biochem, Via Pietro Castellino 111, I-80131 Naples, Italy.</t>
  </si>
  <si>
    <t>c.verde@ibp.cnr.it</t>
  </si>
  <si>
    <t>VERDE, Cinzia/0000-0001-6185-282X</t>
  </si>
  <si>
    <t>10.1016/j.gene.2006.04.006</t>
  </si>
  <si>
    <t>WOS:000243208400018</t>
  </si>
  <si>
    <t>Wilson, DS; Luyendyk, BP</t>
  </si>
  <si>
    <t>Wilson, Douglas S.; Luyendyk, Bruce P.</t>
  </si>
  <si>
    <t>Bedrock platforms within the Ross Embayment, West Antarctica: Hypotheses for ice sheet history, wave erosion, Cenozoic extension, and thermal subsidence</t>
  </si>
  <si>
    <t>GEOCHEMISTRY GEOPHYSICS GEOSYSTEMS</t>
  </si>
  <si>
    <t>Antarctic; geomorphology; subsidence; Antarctica; general; extensional</t>
  </si>
  <si>
    <t>UPPER CRETACEOUS SEQUENCES; BARENTS SEA; SIPLE-DOME; EVOLUTION; CLIMATE; RIFT; THICKNESS; MARGIN; MODEL; STREAMS</t>
  </si>
  <si>
    <t>[ 1] Ice-penetrating radar ( mostly airborne) and marine seismic surveys have revealed plateaus and terraces about 100 - 350 m below sea level beneath parts of the Ross Embayment, including the West Antarctic ice sheet, the Ross Ice Shelf, and the eastern Ross Sea. These surfaces cover many thousands of square kilometers and are separated by bedrock troughs occupied by the West Antarctic ice streams. Prominent plateaus are under Edward VII Peninsula, Siple Dome, and Roosevelt Island. Marine seismic data and gravity data over the buried plateaus support an interpretation that they were caused by erosion into basement. The flat and level nature of the surfaces that were formed by erosion, are near the same depth over large distances, and fringe the buried rugged bedrock topography of Marie Byrd Land supports an interpretation of marine rather than glacial erosion. Marine seismic reflection profiles over one of the plateau remnants show it as an angular unconformity cut into gently dipping sediments of late Oligocene age, draped with thin, flat-lying sediments, implying that the plateau is early Miocene or younger. The younger limit for plateau erosion follows from the interpretation of the mechanism: erosion must predate permanent ice along the coast associated with the growth of the West Antarctic ice sheet, probably prior to 10 Ma and possibly prior to 14 Ma. The plateaus along the Siple Coast, with depths around 350 meters, do not rebound to close to sea level and wave base for models of removing past and present ice load. This discrepancy can be explained if Ross Embayment lithosphere has been cooling and subsiding since significant extension in Eocene to Oligocene time. Our interpretation requires crustal subsidence in the Ross Sea, which in turn implies higher bedrock elevations in the past within this region. Higher-standing topography presented an opportunity for the accumulation of local ice sheets and caused sea level fluctuation prior to late Cenozoic time.</t>
  </si>
  <si>
    <t>Univ Calif Santa Barbara, Dept Earth Sci, Santa Barbara, CA 93106 USA; Univ Calif Santa Barbara, Inst Crustal Studies, Santa Barbara, CA 93106 USA; Univ Calif Santa Barbara, Inst Marine Sci, Santa Barbara, CA 93106 USA</t>
  </si>
  <si>
    <t>University of California System; University of California Santa Barbara; University of California System; University of California Santa Barbara; University of California System; University of California Santa Barbara</t>
  </si>
  <si>
    <t>Wilson, DS (corresponding author), Univ Calif Santa Barbara, Dept Earth Sci, Santa Barbara, CA 93106 USA.</t>
  </si>
  <si>
    <t>dwilson@geol.ucsb.edu; luyendyk@geol.ucsb.edu</t>
  </si>
  <si>
    <t>AMER GEOPHYSICAL UNION</t>
  </si>
  <si>
    <t>2000 FLORIDA AVE NW, WASHINGTON, DC 20009 USA</t>
  </si>
  <si>
    <t>1525-2027</t>
  </si>
  <si>
    <t>GEOCHEM GEOPHY GEOSY</t>
  </si>
  <si>
    <t>Geochem. Geophys. Geosyst.</t>
  </si>
  <si>
    <t>Q12011</t>
  </si>
  <si>
    <t>10.1029/2006GC001294</t>
  </si>
  <si>
    <t>124BY</t>
  </si>
  <si>
    <t>WOS:000243343200001</t>
  </si>
  <si>
    <t>Kiefer, T; McCave, IN; Elderfield, H</t>
  </si>
  <si>
    <t>Kiefer, Thorsten; McCave, I. Nick; Elderfield, Henry</t>
  </si>
  <si>
    <t>Antarctic control on tropical Indian Ocean sea surface temperature and hydrography</t>
  </si>
  <si>
    <t>GEOPHYSICAL RESEARCH LETTERS</t>
  </si>
  <si>
    <t>FORAMINIFERAL MG/CA PALEOTHERMOMETRY; LAST GLACIAL CYCLE; CARBON-ISOTOPE; CLIMATE; ICE; OSCILLATION; CALIBRATION; RAINFALL; EVENTS</t>
  </si>
  <si>
    <t>We reconstructed the surface hydrography of the South Equatorial Current in the western Indian Ocean for the last 65,000 years using a marine sediment core record. Results show that tropical Indian Ocean temperatures resemble temperatures from Antarctic ice cores with warm and cold fluctuations synchronous with the Antarctic Cold Reversal and the Antarctic warm events A1 - A4. The most likely thermal link involves Subantarctic Mode Water (SAMW) which forms north of the subpolar frontal zone and spreads northward into the Indian Ocean. This subsurface water mass is the prime suspect because of a stronger temperature response in the thermocline ( recorded by the foraminifer N. dutertrei) than in surface water ( G. ruber).</t>
  </si>
  <si>
    <t>Univ Cambridge, Dept Earth Sci, Godwin Lab Palaeoclimate Tes, Cambridge CB2 3EQ, England</t>
  </si>
  <si>
    <t>Kiefer, T (corresponding author), PAGES Int Project Off, Sulgeneckstr 38, CH-3007 Bern, Switzerland.</t>
  </si>
  <si>
    <t>kiefer@pages.unibe.ch</t>
  </si>
  <si>
    <t>0094-8276</t>
  </si>
  <si>
    <t>GEOPHYS RES LETT</t>
  </si>
  <si>
    <t>Geophys. Res. Lett.</t>
  </si>
  <si>
    <t>L24612</t>
  </si>
  <si>
    <t>10.1029/2006GL027097</t>
  </si>
  <si>
    <t>124CE</t>
  </si>
  <si>
    <t>WOS:000243344000001</t>
  </si>
  <si>
    <t>Marrari, M; Hu, CM; Daly, K</t>
  </si>
  <si>
    <t>Marrari, Marina; Hu, Chuanmin; Daly, Kendra</t>
  </si>
  <si>
    <t>Validation of SeaWiFS chlorophyll a concentrations in the Southern Ocean:: A revisit</t>
  </si>
  <si>
    <t>REMOTE SENSING OF ENVIRONMENT</t>
  </si>
  <si>
    <t>remote sensing; ocean color; algorithm; chlorophyll; HPLC; fluorometric; Southern Ocean</t>
  </si>
  <si>
    <t>NORTH PACIFIC-OCEAN; GULF-OF-MEXICO; ANTARCTIC PENINSULA; PHYTOPLANKTON BIOMASS; BIOOPTICAL PROPERTIES; MARINE-PHYTOPLANKTON; CONTINENTAL-SHELF; COASTAL WATERS; CARBON FLUX; HPLC METHOD</t>
  </si>
  <si>
    <t>Surface chlorophyll a concentrations (C-a, mg m(-3)) in the Southern Ocean estimated from SeaWiFS satellite data have been reported in the literature to be significantly lower than those measured from in situ water samples using fluorometric methods. However, we found that high-resolution (similar to 1 km(2)/pixel) daily SeaWiFS C-a (C-a(SWF)) data (SeaDAS4.8, OC4v4 algorithm) was an accurate measure of in situ C-a during January-February of 1998-2002 if concurrent in situ data measured by HPLC (C-a(HPLC)) instead of fluorometric (C-a(Fluor)) measurements were used as ground truth. Our analyses indicate that C-a(Fluor) is 2.48 +/- 2.23 (n = 647) times greater than C-a(HPLC) between 0.05 and 1.5 mg m(-3) and that the percentage overestimation of in situ C, by fluorometric measurements increases with decreasing concentrations. The ratio of C-a(SWF)/C-a(PLC) is 1.12 +/- 0.91 (n = 96), whereas the ratio of C-a(SWF)/Ca-Fluor is 0.55 +/- 0.63 (n = 307). Furthermore, there is no significant bias in C-a(SWF) (12% and -0.07 in linear and log-transformed C-a, respectively) when C-a(HPLC) is used as ground truth instead of C-a(Fluor). The high C-a(Fluor)/C-a(HPLC) ratio may be attributed to the relatively low concentrations of chlorophyll b (C-b/C-a = 0.023 +/- 0.034, n = 482) and relatively high concentrations of chlorophyll c (C-c/C-a = 0.25 +/- 0.59, n = 482) in the phytoplankton pigment composition when compared to values from other regions. Because more than 90% of the waters in the study area, as well as in the entire Southern Ocean (south of 60 degrees S), have C-a(SWF) between 0.05 and 1.5 mg m(-3), we consider that the SeaWiFS performance of C-a retrieval is satisfactory and for this C-a range there is no need to further develop a regional bio-optical algorithm to account for the previous SeaWiFS underestimation. (c) 2006 Elsevier Inc. All rights reserved.</t>
  </si>
  <si>
    <t>Univ S Florida, Coll Marine Sci, St Petersburg, FL 33701 USA</t>
  </si>
  <si>
    <t>State University System of Florida; University of South Florida</t>
  </si>
  <si>
    <t>Marrari, M (corresponding author), Univ S Florida, Coll Marine Sci, 140 7th Ave S, St Petersburg, FL 33701 USA.</t>
  </si>
  <si>
    <t>mmarrari@marine.usf.edu</t>
  </si>
  <si>
    <t>hu, chuanmin/J-5021-2012</t>
  </si>
  <si>
    <t>0034-4257</t>
  </si>
  <si>
    <t>REMOTE SENS ENVIRON</t>
  </si>
  <si>
    <t>Remote Sens. Environ.</t>
  </si>
  <si>
    <t>10.1016/j.rse.2006.07.008</t>
  </si>
  <si>
    <t>Environmental Sciences; Remote Sensing; Imaging Science &amp; Photographic Technology</t>
  </si>
  <si>
    <t>Environmental Sciences &amp; Ecology; Remote Sensing; Imaging Science &amp; Photographic Technology</t>
  </si>
  <si>
    <t>114XP</t>
  </si>
  <si>
    <t>WOS:000242699200008</t>
  </si>
  <si>
    <t>Baba, K; Minobe, S; Kimura, N; Wakatsuchi, M</t>
  </si>
  <si>
    <t>Baba, Kenji; Minobe, Shoshiro; Kimura, Noriaki; Wakatsuchi, Masaaki</t>
  </si>
  <si>
    <t>Intraseasonal variability of sea-ice concentration in the Antarctic with particular emphasis on wind effect</t>
  </si>
  <si>
    <t>JOURNAL OF GEOPHYSICAL RESEARCH-OCEANS</t>
  </si>
  <si>
    <t>SOUTHERN-HEMISPHERE; NORTHERN-HEMISPHERE; CIRCUMPOLAR WAVE; PACK ICE; WINTER; OSCILLATIONS; TEMPERATURE; MOTION; EXTENT; OCEAN</t>
  </si>
  <si>
    <t>This study investigated mechanisms for the intraseasonal variability of sea-ice concentration in the Antarctic, using Complex Empirical Orthogonal Function (CEOF) analysis of daily sea-ice concentration data during the period 1992 through 2001 derived from images of the Defense Meteorological Satellite Program (DMSP) Special Sensor Microwave Imager (SSM/I). The first CEOF mode clearly showed that the large amplitudes of sea-ice concentration occur in the marginal sea-ice zone of the western Antarctic. The first mode also revealed the existence of eastward propagating phases with a period of 10-20 days in the western Antarctic. Regression analysis of meridional wind velocity onto the temporal coefficient of the first CEOF mode showed that the spatial phase of the meridional wind velocity precedes that of sea-ice concentration by about 90 degrees, indicating that the maximum change of sea-ice concentration occurs at the maximum wind velocity. From data analyses of ice-drifting velocity and simple sea-ice model results, it is suggested that thermodynamical effects such as sea-ice production are likely to contribute dominantly to the intraseasonal variability of sea-ice concentration in the marginal sea- ice zone of the western Antarctic.</t>
  </si>
  <si>
    <t>Hokkaido Univ, Inst Low Temp Sci, Sapporo, Hokkaido 0600819, Japan; Hokkaido Univ, Grad Sch Sci, Div Earth &amp; Planetary Sci, Sapporo, Hokkaido 0600810, Japan</t>
  </si>
  <si>
    <t>Hokkaido University; Hokkaido University</t>
  </si>
  <si>
    <t>Baba, K (corresponding author), Hokkaido Univ, Inst Low Temp Sci, Sapporo, Hokkaido 0600819, Japan.</t>
  </si>
  <si>
    <t>kbaba@lowtem.hokudai.ac.jp</t>
  </si>
  <si>
    <t>Minobe, Shoshiro/E-2997-2010</t>
  </si>
  <si>
    <t>Minobe, Shoshiro/0000-0002-9487-9006; BABA, Kenji/0000-0002-3515-7695</t>
  </si>
  <si>
    <t>2169-9275</t>
  </si>
  <si>
    <t>2169-9291</t>
  </si>
  <si>
    <t>J GEOPHYS RES-OCEANS</t>
  </si>
  <si>
    <t>J. Geophys. Res.-Oceans</t>
  </si>
  <si>
    <t>DEC 27</t>
  </si>
  <si>
    <t>C12</t>
  </si>
  <si>
    <t>C12023</t>
  </si>
  <si>
    <t>10.1029/2005JC003052</t>
  </si>
  <si>
    <t>124CV</t>
  </si>
  <si>
    <t>WOS:000243345700002</t>
  </si>
  <si>
    <t>Owen, GW; Willmott, AJ; Abrahams, ID</t>
  </si>
  <si>
    <t>Owen, G. W.; Willmott, A. J.; Abrahams, I. D.</t>
  </si>
  <si>
    <t>Scattering of barotropic Rossby waves by the Antarctic Circumpolar Current</t>
  </si>
  <si>
    <t>SOUTHERN-OCEAN; SHEAR; DYNAMICS</t>
  </si>
  <si>
    <t>This study examines the interactions between barotropic Rossby waves and a zonal current, with particular reference to the Antarctic Circumpolar Current (ACC). In the high latitude of the Southern Ocean, the effect, which provides the restoring mechanism for Rossby waves, is relatively weak, resulting in barotropic waves that are extremely long, with periods of the order of 1 week or longer. We model the interactions between the current and the waves using the linearized potential vorticity (PV) equation with the inclusion of background PV terms corresponding to a barotropic zonal flow of finite width. An analytical solution is found for the simplest, piecewise-linear flow and numerical solutions obtained for more realistic, smoothly varying flows. The results show that, in general, the long waves are not appreciably modified or reflected by the shear flow, except in the case where the wave is incident at an oblique angle. Wave reflection is also more pronounced for shorter waves, such as Rossby waves having eastward group velocity or the case where the wave frequency is just below the cutoff frequency.</t>
  </si>
  <si>
    <t>Univ Keele, Dept Math, Keele ST5 5BG, Staffs, England; Univ Manchester, Dept Math, Manchester M13 9PL, Lancs, England; Proudman Oceanog Lab, Liverpool L3 5DA, Merseyside, England</t>
  </si>
  <si>
    <t>Keele University; University of Manchester; NERC National Oceanography Centre</t>
  </si>
  <si>
    <t>Owen, GW (corresponding author), Univ Keele, Dept Math, Keele ST5 5BG, Staffs, England.</t>
  </si>
  <si>
    <t>g.w.owen@maths.keele.ac.uk</t>
  </si>
  <si>
    <t>Abrahams, I. David/AAK-8484-2020; Abrahams, I. David/C-7169-2009</t>
  </si>
  <si>
    <t>Abrahams, I. David/0000-0002-4134-4438; Abrahams, I. David/0000-0002-4134-4438</t>
  </si>
  <si>
    <t>C12024</t>
  </si>
  <si>
    <t>10.1029/2005JC003014</t>
  </si>
  <si>
    <t>hybrid, Green Submitted</t>
  </si>
  <si>
    <t>WOS:000243345700001</t>
  </si>
  <si>
    <t>Hindmarsh, RCA</t>
  </si>
  <si>
    <t>Hindmarsh, Richard C. A.</t>
  </si>
  <si>
    <t>Stress gradient damping of thermoviscous ice flow instabilities</t>
  </si>
  <si>
    <t>JOURNAL OF GEOPHYSICAL RESEARCH-SOLID EARTH</t>
  </si>
  <si>
    <t>SHEET; MODEL; GLACIERS</t>
  </si>
  <si>
    <t>[ 1] Calculations of thermomechanically coupled ice sheet evolution using the shallow ice approximation exhibit the development of fingering instabilities in velocity, temperature, and thickness, which have been argued to resemble and therefore explain ice stream formation. However, workers have had difficulty in obtaining comparable results. It has been suggested that this is due to ill-posing of the evolution problem when the shallow ice approximation is used. The influence of additional mechanical terms are examined, using both the full system and the hybrid lubrication/ membrane stress approximation ( the three-dimensional equivalent of the longitudinal stress approximation). Linearization techniques are used to formulate an analytical problem and a numerical eigenvalue problem. The analysis shows that the shallow ice approximation gives highly erroneous stability maps for the combination of shorter transverse wavelengths and longer along-flow wavelengths (i.e., ice stream dimensions), while the lubrication/ membrane stress approximation and full systems give different but consistent results which remove the ill-posing. Calculations in two horizontal dimensions of thermoviscous coupling using the shallow ice approximation, which comprise a large proportion of ice sheet modeling results, need reexamination.</t>
  </si>
  <si>
    <t>British Antarctic Survey, NERC, Div Phys Sci, Cambridge CB3 0ET, England</t>
  </si>
  <si>
    <t>Hindmarsh, RCA (corresponding author), British Antarctic Survey, NERC, Div Phys Sci, High Cross,Madingley Rd, Cambridge CB3 0ET, England.</t>
  </si>
  <si>
    <t>rcah@bas.ac.uk</t>
  </si>
  <si>
    <t>Hindmarsh, Richard/N-1195-2019</t>
  </si>
  <si>
    <t>Hindmarsh, Richard/0000-0003-1633-2416</t>
  </si>
  <si>
    <t>NERC [bas010018] Funding Source: UKRI; Natural Environment Research Council [bas010018] Funding Source: researchfish</t>
  </si>
  <si>
    <t>2169-9313</t>
  </si>
  <si>
    <t>2169-9356</t>
  </si>
  <si>
    <t>J GEOPHYS RES-SOL EA</t>
  </si>
  <si>
    <t>J. Geophys. Res.-Solid Earth</t>
  </si>
  <si>
    <t>DEC 23</t>
  </si>
  <si>
    <t>B12</t>
  </si>
  <si>
    <t>B12409</t>
  </si>
  <si>
    <t>10.1029/2005JB004019</t>
  </si>
  <si>
    <t>120TQ</t>
  </si>
  <si>
    <t>WOS:000243109400001</t>
  </si>
  <si>
    <t>Pälike, H; Norris, RD; Herrle, JO; Wilson, PA; Coxall, HK; Lear, CH; Shackleton, NJ; Tripati, AK; Wade, BS</t>
  </si>
  <si>
    <t>Paelike, Heiko; Norris, Richard D.; Herrle, Jens O.; Wilson, Paul A.; Coxall, Helen K.; Lear, Caroline H.; Shackleton, Nicholas J.; Tripati, Aradhna K.; Wade, Bridget S.</t>
  </si>
  <si>
    <t>The heartbeat of the oligocene climate system</t>
  </si>
  <si>
    <t>SCIENCE</t>
  </si>
  <si>
    <t>SEDIMENTS ODP SITE-1218; INSOLATION QUANTITIES; ANTARCTIC GLACIATION; CALCITE COMPENSATION; MIOCENE BOUNDARY; ATMOSPHERIC CO2; CARBON-DIOXIDE; CALIBRATION; MYR; CONSTRAINTS</t>
  </si>
  <si>
    <t>A 13-million-year continuous record of Oligocene climate from the equatorial Pacific reveals a pronounced heartbeat in the global carbon cycle and periodicity of glaciations. This heartbeat consists of 405,000-, 127,000-, and 96,000- year eccentricity cycles and 1.2-million-year obliquity cycles in periodically recurring glacial and carbon cycle events. That climate system response to intricate orbital variations suggests a fundamental interaction of the carbon cycle, solar forcing, and glacial events. Box modeling shows that the interaction of the carbon cycle and solar forcing modulates deep ocean acidity as well as the production and burial of global biomass. The pronounced 405,000- year eccentricity cycle is amplified by the long residence time of carbon in the oceans.</t>
  </si>
  <si>
    <t>Southampton Sch Ocean &amp; Earth Sci, Natl Oceanog Ctr, Southampton SO14 3ZH, Hants, England; Univ Calif San Diego, Scripps Inst Oceanog, La Jolla, CA 92093 USA; Univ Alberta, Dept Earth &amp; Atmospher Sci, Edmonton, AB T6G 2E3, Canada; Cardiff Univ, Sch Earth Ocean &amp; Planetary Sci, Cardiff CF10 3AT, S Glam, Wales; Univ Cambridge, Dept Earth Sci, Cambridge CB2 3EQ, England; Rutgers State Univ, Inst Marine &amp; Coastal Sci, New Brunswick, NJ 08901 USA</t>
  </si>
  <si>
    <t>NERC National Oceanography Centre; University of Southampton; University of California System; University of California San Diego; Scripps Institution of Oceanography; University of Alberta; Cardiff University; University of Cambridge; Rutgers University System; Rutgers University New Brunswick</t>
  </si>
  <si>
    <t>Pälike, H (corresponding author), Southampton Sch Ocean &amp; Earth Sci, Natl Oceanog Ctr, European Way, Southampton SO14 3ZH, Hants, England.</t>
  </si>
  <si>
    <t>H.Palike@soton.ac.uk</t>
  </si>
  <si>
    <t>Pälike, Heiko/A-6560-2008; Lear, Caroline H/D-2582-2009; Wade, Bridget S/F-4987-2014; Herrle, Jens O/B-9088-2008; Tripati, Aradhna/C-9419-2011</t>
  </si>
  <si>
    <t>Pälike, Heiko/0000-0003-3386-0923; Wade, Bridget S/0000-0002-7245-8614; Coxall, Helen/0000-0002-2843-2898; Wilson, Paul/0000-0001-6425-8906; Tripati, Aradhna/0000-0002-1695-1754; Lear, Caroline/0000-0002-7533-4430</t>
  </si>
  <si>
    <t>Natural Environment Research Council [NE/D000343/1] Funding Source: researchfish; NERC [NE/D000343/1] Funding Source: UKRI</t>
  </si>
  <si>
    <t>AMER ASSOC ADVANCEMENT SCIENCE</t>
  </si>
  <si>
    <t>1200 NEW YORK AVE, NW, WASHINGTON, DC 20005 USA</t>
  </si>
  <si>
    <t>0036-8075</t>
  </si>
  <si>
    <t>Science</t>
  </si>
  <si>
    <t>DEC 22</t>
  </si>
  <si>
    <t>10.1126/science.1133822</t>
  </si>
  <si>
    <t>119EY</t>
  </si>
  <si>
    <t>WOS:000242996800039</t>
  </si>
  <si>
    <t>Topping, JN; Heywood, JL; Ward, P; Zubkov, MV</t>
  </si>
  <si>
    <t>Topping, Juliette N.; Heywood, Jane L.; Ward, Peter; Zubkov, Mikhail V.</t>
  </si>
  <si>
    <t>Bacterioplankton composition in the Scotia Sea, Antarctica, during the austral summer of 2003</t>
  </si>
  <si>
    <t>AQUATIC MICROBIAL ECOLOGY</t>
  </si>
  <si>
    <t>bacterioplankton; community; CARD-FISH; flow cytometry; Scotia Sea; Antarctic Circumpolar Current</t>
  </si>
  <si>
    <t>CATALYZED REPORTER DEPOSITION; PLANKTON COMMUNITY STRUCTURE; BACTERIAL STANDING STOCK; IN-SITU HYBRIDIZATION; WEDDELL SEA; MARINE BACTERIOPLANKTON; SEASONAL-CHANGES; SOUTHERN-OCEAN; ICE; BIOMASS</t>
  </si>
  <si>
    <t>Physical ocean processes (ice-melt, island run-off and upwelling of nutrients) were hypothesised to affect the bacterioplankton composition in the surface mixed layer of the Scotia Sea during the austral summer of 2003, and this was investigated using flow cytometry and catalysed reporter deposition fluorescence in situ hybridisation (CARD-FISH) techniques. The bacterioplankton was composed predominantly of Alphaproteobacteria (PB), comprising SAR11, Roseobacter spp. and SAR116 groups, followed by Sphingobacteria/Flavobacteria and Gammaproteobacteria, including SAR86. Two distinct bacterioplankton communities were identified, largely based on bacterioplankton abundance, which varied from 0.3 +/- 0.06 x 10(6) cells ml(-1) in the west to 0.8 +/- 0.3 x 10(6) cells ml(-1) in the east, and a corresponding difference in SAR11 percentages of 30 +/- 15% in the west compared to 5 +/- 5% in the east. The western community was present in waters that were largely in an over-wintered, pre-bloom condition. The eastern bacterioplankton community was associated with phytoplankton blooms developed within the eastern Scotia Sea nutrient upwelling zone, where the Antarctic Circumpolar Current (ACC) encounters the shallow bathymetry associated with the Scotia Arc, in combination with seasonal ice-melt and island effects that enabled surface water stratification.</t>
  </si>
  <si>
    <t>Natl Oceanog Ctr, Southampton SO14 3ZH, Hants, England; British Antarctic Survey, NERC, Cambridge CB3 0ET, England</t>
  </si>
  <si>
    <t>NERC National Oceanography Centre; UK Research &amp; Innovation (UKRI); Natural Environment Research Council (NERC); NERC British Antarctic Survey</t>
  </si>
  <si>
    <t>Topping, JN (corresponding author), Natl Oceanog Ctr, European Way, Southampton SO14 3ZH, Hants, England.</t>
  </si>
  <si>
    <t>jzt@noc.soton.ac.uk</t>
  </si>
  <si>
    <t>Zubkov, Mikhail/AAW-9674-2020</t>
  </si>
  <si>
    <t>Zubkov, Mikhail/0000-0001-7723-6810; Heywood, Jane/0000-0001-8292-7704</t>
  </si>
  <si>
    <t>0948-3055</t>
  </si>
  <si>
    <t>1616-1564</t>
  </si>
  <si>
    <t>AQUAT MICROB ECOL</t>
  </si>
  <si>
    <t>Aquat. Microb. Ecol.</t>
  </si>
  <si>
    <t>DEC 21</t>
  </si>
  <si>
    <t>10.3354/ame045229</t>
  </si>
  <si>
    <t>127SX</t>
  </si>
  <si>
    <t>WOS:000243607700003</t>
  </si>
  <si>
    <t>Abel, GA; Freeman, MP; Chisham, G</t>
  </si>
  <si>
    <t>Abel, G. A.; Freeman, M. P.; Chisham, G.</t>
  </si>
  <si>
    <t>Spatial structure of ionospheric convection velocities in regions of open and closed magnetic field topology</t>
  </si>
  <si>
    <t>SOLAR-WIND; AE INDEXES; SUPERDARN; TURBULENCE; CRITICALITY; BOUNDARY; DYNAMICS; SPECTRA; CUSP; AU</t>
  </si>
  <si>
    <t>We present a spatial structure function analysis of ionospheric velocity, measured by the Halley Super Dual Auroral Radar Network (SuperDARN) radar over five years. We show evidence for scale-free velocity fluctuations for separations from 45 km to similar to 1000 km. For larger separations a deviation from scale-free structure is seen that we interpret as the influence of the global convection pattern. We find evidence for scale-free structure in regions of both open and closed field line topology, though with different power-law exponents. The measured power-law exponents poleward and equatorward of the open-closed field line boundary are 0.31 and 0.39 respectively. We propose that the scale-free spatial structure of ionospheric velocity fluctuations on open magnetic field lines is a reflection of the spatial structure of the solar wind and the scale-free spatial structure of ionospheric velocity fluctuations on closed magnetic field lines is dictated by the internal dynamics of the magnetosphere-ionosphere system.</t>
  </si>
  <si>
    <t>Abel, GA (corresponding author), British Antarctic Survey, Nat Environm Res Council, Madingley Rd, Cambridge CB3 0ET, England.</t>
  </si>
  <si>
    <t>gaab@bas.ac.uk; mpf@bas.ac.uk; gchi@bas.ac.uk</t>
  </si>
  <si>
    <t>Abel, Gary/ABE-1765-2021; Freeman, Mervyn/E-5687-2019</t>
  </si>
  <si>
    <t>Abel, Gary/0000-0003-2231-5161; Freeman, Mervyn/0000-0002-8653-8279</t>
  </si>
  <si>
    <t>1944-8007</t>
  </si>
  <si>
    <t>L24103</t>
  </si>
  <si>
    <t>10.1029/2006GL027919</t>
  </si>
  <si>
    <t>120SK</t>
  </si>
  <si>
    <t>WOS:000243106000004</t>
  </si>
  <si>
    <t>Gudmundsson, GH</t>
  </si>
  <si>
    <t>Gudmundsson, G. Hilmar</t>
  </si>
  <si>
    <t>Fortnightly variations in the flow velocity of Rutford Ice Stream, West Antarctica</t>
  </si>
  <si>
    <t>NATURE</t>
  </si>
  <si>
    <t>RADAR INTERFEROMETRY; SHEET; SEISMICITY; MOTION</t>
  </si>
  <si>
    <t>Most of the ice lost from the Antarctic ice sheet passes through a few fast-flowing and highly dynamic ice streams(1). Quantifying temporal variations in flow in these ice streams, and understanding their causes, is a prerequisite for estimating the potential contribution of the Antarctic ice sheet to global sea-level change(2,3). Here I show that surface velocities on a major West Antarctic Ice Stream, Rutford Ice Stream, vary periodically by about 20 per cent every two weeks as a result of tidal forcing. Tidally induced motion on ice streams has previously been thought to be limited to diurnal or even shorter-term variations(4-9). The existence of strong fortnightly variations in flow demonstrates the potential pitfalls of using repeated velocity measurements over intervals of days to infer long-term change.</t>
  </si>
  <si>
    <t>Gudmundsson, GH (corresponding author), British Antarctic Survey, High Cross,Madingley Rd, Cambridge CB3 0ET, England.</t>
  </si>
  <si>
    <t>ghg@bas.ac.uk</t>
  </si>
  <si>
    <t>Gudmundsson, Gudmundur Hilmar/AAU-5987-2020; Gudmundsson, Gudmundur Hilmar/F-6499-2012</t>
  </si>
  <si>
    <t>Gudmundsson, Gudmundur Hilmar/0000-0003-4236-5369; Gudmundsson, Gudmundur Hilmar/0000-0003-4236-5369</t>
  </si>
  <si>
    <t>NATURE PUBLISHING GROUP</t>
  </si>
  <si>
    <t>MACMILLAN BUILDING, 4 CRINAN ST, LONDON N1 9XW, ENGLAND</t>
  </si>
  <si>
    <t>0028-0836</t>
  </si>
  <si>
    <t>1476-4687</t>
  </si>
  <si>
    <t>Nature</t>
  </si>
  <si>
    <t>10.1038/nature05430</t>
  </si>
  <si>
    <t>118VH</t>
  </si>
  <si>
    <t>WOS:000242971100054</t>
  </si>
  <si>
    <t>Cziko, PA; Cheng, CHC</t>
  </si>
  <si>
    <t>Cziko, Paul A.; Cheng, C. -H. Christina</t>
  </si>
  <si>
    <t>A new species of Nototheniid (Perciformes: Notothenioidei) fish from McMurdo Sound, Antarctica</t>
  </si>
  <si>
    <t>COPEIA</t>
  </si>
  <si>
    <t>ANTIFREEZE GLYCOPEPTIDES; PEPTIDES; BUOYANCY</t>
  </si>
  <si>
    <t>A new species of notodieniid fish, Cryothenia amphitreta, is described from a single gravid female collected in mid-November 2004 by divers in McMurdo Sound in the Ross Sea region of Antarctica. The new species closely resembles the only known congener, C peninsulae, collected off the west coast of the Antarctic Peninsula, but differs substantially in pelvic-fin length (13.4 vs. 19.3-24.4% SL), total vertebrae (57 vs. 50-53), body size at maturity (261 vs. 100-144 mm), and interorbital-pit morphology. The neutrally-buoyant C amphitreta is characterized by a wide, well-defined interorbital pit divided by a raised medial ridge, scales anterior to this depression in the interorbital region, and a dark pigmentation of the mouth, gill, and body cavity linings. This species is protected against freezing by high levels of antifreeze proteins in its body fluids. Phylogenetic reconstruction using the mitochondrial NADH dehydrogenase subunit 2 (mtND2) suggests that C amphitreta falls within the current designation of the nototheniid subfamily Trematominae.</t>
  </si>
  <si>
    <t>Univ Illinois, Dept Anim Biol, Urbana, IL 61801 USA</t>
  </si>
  <si>
    <t>University of Illinois System; University of Illinois Urbana-Champaign</t>
  </si>
  <si>
    <t>Cziko, PA (corresponding author), Univ Illinois, Dept Anim Biol, 505 S Goodwin, Urbana, IL 61801 USA.</t>
  </si>
  <si>
    <t>pcziko@gmail.com</t>
  </si>
  <si>
    <t>AMER SOC ICHTHYOLOGISTS &amp; HERPETOLOGISTS</t>
  </si>
  <si>
    <t>MIAMI</t>
  </si>
  <si>
    <t>MAUREEN DONNELLY, SECRETARY FLORIDA INT UNIV BIOLOGICAL SCIENCES, 11200 SW 8TH STREET, MIAMI, FL 33199 USA</t>
  </si>
  <si>
    <t>0045-8511</t>
  </si>
  <si>
    <t>1938-5110</t>
  </si>
  <si>
    <t>Copeia</t>
  </si>
  <si>
    <t>DEC 20</t>
  </si>
  <si>
    <t>120XO</t>
  </si>
  <si>
    <t>WOS:000243120300015</t>
  </si>
  <si>
    <t>Tilmes, S; Müller, R; Grooss, JU; Nakajima, H; Sasano, Y</t>
  </si>
  <si>
    <t>Tilmes, Simone; Mueller, Rolf; Gross, Jens-Uwe; Nakajima, Hideaki; Sasano, Yasuhiro</t>
  </si>
  <si>
    <t>Development of tracer relations and chemical ozone loss during the setup phase of the polar vortex</t>
  </si>
  <si>
    <t>JOURNAL OF GEOPHYSICAL RESEARCH-ATMOSPHERES</t>
  </si>
  <si>
    <t>ATMOSPHERIC SPECTROMETER ILAS; ANTARCTIC STRATOSPHERE; MODEL-CALCULATIONS; LAGRANGIAN MODEL; HALOE; NOX; ACTIVATION; DEPLETION; PROFILES; DESCENT</t>
  </si>
  <si>
    <t>[1] The development of tracer-tracer relations in the polar stratosphere is analyzed during the period when the vortex forms and a westerly circulation develops after polar summer (the setup phase of the polar vortex). We consider high southern latitudes from March to June for winter 1997 and 2003 and high northern latitudes from September to October 2003. ILAS and ILAS-II satellite observations and model simulations are used to investigate chemical changes in O-3, NO2 and HNO3 during these periods. Tracer-tracer relations and meteorological analyses consistently indicate a separation of the incipient polar vortex into two parts. The area within the edge of the inner vortex is isolated from the outer part that is still influenced by mixing with air of midlatitude origin. In the Antarctic in April, ozone concentrations vary by about 0.5 ppmv within the isolated inner vortex between 500 and 600 K potential temperature. This inhomogeneous distribution of ozone is likewise obvious in MIPAS satellite measurements. Box model simulations explain that the low ozone concentrations in April are caused by chemical ozone loss due to catalytic cycles which are mainly driven by NOx at this time of the year. The simulations also explain the observed conversion of NOx to HNO3 during the setup phase of the 2003 Antarctic vortex. During June in the Antarctic, the internal vortex transport barrier disappears and ozone mixing ratios become homogeneous throughout the entire vortex. At that time, no further ozone loss occurs because of the lack of sunlight.</t>
  </si>
  <si>
    <t>Forschungszentrum Julich, Inst Stratospher Res ICGI, D-52425 Julich, Germany; Natl Inst Environm Studies, Div Atmospher Environm, Tsukuba, Ibaraki 3058506, Japan</t>
  </si>
  <si>
    <t>Helmholtz Association; Research Center Julich; National Institute for Environmental Studies - Japan</t>
  </si>
  <si>
    <t>Tilmes, S (corresponding author), Natl Ctr Atmospher Res, Boulder, CO 80303 USA.</t>
  </si>
  <si>
    <t>tilmes@ucar.edu</t>
  </si>
  <si>
    <t>Nakajima, Hideaki/M-8845-2019; Grooß, Jens-Uwe/N-3305-2019; Tilmes, Simone/JUV-6618-2023; Müller, Rolf/ABA-8213-2021; Sasano, Yasuhiro/AAL-8184-2020; Grooß, Jens-Uwe/A-7315-2013</t>
  </si>
  <si>
    <t>Nakajima, Hideaki/0000-0002-2742-1230; Grooß, Jens-Uwe/0000-0002-9485-866X; Tilmes, Simone/0000-0002-6557-3569; Müller, Rolf/0000-0002-5024-9977; Sasano, Yasuhiro/0000-0001-7470-5642; Grooß, Jens-Uwe/0000-0002-9485-866X</t>
  </si>
  <si>
    <t>2169-897X</t>
  </si>
  <si>
    <t>2169-8996</t>
  </si>
  <si>
    <t>J GEOPHYS RES-ATMOS</t>
  </si>
  <si>
    <t>J. Geophys. Res.-Atmos.</t>
  </si>
  <si>
    <t>D24</t>
  </si>
  <si>
    <t>D24S90</t>
  </si>
  <si>
    <t>10.1029/2005JD006726</t>
  </si>
  <si>
    <t>120ST</t>
  </si>
  <si>
    <t>Green Published, Bronze</t>
  </si>
  <si>
    <t>WOS:000243106900001</t>
  </si>
  <si>
    <t>Scott, JBT; Nienow, P; Mair, D; Parry, V; Morris, E; Wingham, DJ</t>
  </si>
  <si>
    <t>Scott, Julian B. T.; Nienow, Peter; Mair, Douglas; Parry, Victoria; Morris, Elizabeth; Wingham, Duncan J.</t>
  </si>
  <si>
    <t>Importance of seasonal and annual layers in controlling backscatter to radar altimeters across the percolation zone of an ice sheet</t>
  </si>
  <si>
    <t>SEA-LEVEL RISE; GREENLAND</t>
  </si>
  <si>
    <t>Radar altimeters are one of the main tools for measuring elevation changes across the Antarctic and Greenland ice sheets and larger ice caps. A ground-based radar was deployed in autumn 2004 and spring 2006 in the percolation zone of the Greenland Ice Sheet. This radar is a high bandwidth system operating in the Ku band, the same frequency as several satellite altimeters. Measurements were made over an elevation range of 1795 to 2350 m, along with snow pit and shallow core studies. These measurements demonstrate the spatial and temporal variations in the backscatter. Relative strengths of surface and volume reflections change dramatically between spring and autumn and there is also high spatial variability across the percolation zone. The extent of percolation will affect elevation estimates made by radar altimeters.</t>
  </si>
  <si>
    <t>British Antarctic Survey, Cambridge CB3 0ET, England; Univ Edinburgh, Sch Geosci, Edinburgh EH8 9XP, Midlothian, Scotland; Univ Aberdeen, Sch Geosci, Dept Geog &amp; Environm, Aberdeen AB24 3UF, Scotland; Univ Cambridge, Scott Polar Res Inst, Cambridge CB2 1ER, England; UCL, Ctr Polar Observat &amp; Modelling, London WC1E 6BT, England</t>
  </si>
  <si>
    <t>UK Research &amp; Innovation (UKRI); Natural Environment Research Council (NERC); NERC British Antarctic Survey; University of Edinburgh; University of Aberdeen; University of Cambridge; University of London; University College London</t>
  </si>
  <si>
    <t>Mair, D (corresponding author), British Antarctic Survey, High Cross,Madingley Rd, Cambridge CB3 0ET, England.</t>
  </si>
  <si>
    <t>Morris, Elizabeth M/A-6081-2012</t>
  </si>
  <si>
    <t>Mair, Douglas/0000-0001-7009-5461</t>
  </si>
  <si>
    <t>DEC 19</t>
  </si>
  <si>
    <t>L24502</t>
  </si>
  <si>
    <t>10.1029/2006GL027974</t>
  </si>
  <si>
    <t>120SH</t>
  </si>
  <si>
    <t>Bronze, Green Published</t>
  </si>
  <si>
    <t>WOS:000243105700006</t>
  </si>
  <si>
    <t>McLaren, AJ; Banks, HT; Durman, CF; Gregory, JM; Johns, TC; Keen, AB; Ridley, JK; Roberts, MJ; Lipscomb, WH; Connolley, WM; Laxon, SW</t>
  </si>
  <si>
    <t>McLaren, A. J.; Banks, H. T.; Durman, C. F.; Gregory, J. M.; Johns, T. C.; Keen, A. B.; Ridley, J. K.; Roberts, M. J.; Lipscomb, W. H.; Connolley, W. M.; Laxon, S. W.</t>
  </si>
  <si>
    <t>Evaluation of the sea ice simulation in a new coupled atmosphere-ocean climate model (HadGEM1)</t>
  </si>
  <si>
    <t>NORTH-ATLANTIC OSCILLATION; THICKNESS DISTRIBUTION; SURFACE-TEMPERATURE; ARCTIC-OCEAN; FRAM STRAIT; DYNAMICS; ALBEDO; VARIABILITY; FLUX; THERMODYNAMICS</t>
  </si>
  <si>
    <t>[ 1] A rapid increase in the variety, quality, and quantity of observations in polar regions is leading to a significant improvement in the understanding of sea ice dynamic and thermodynamic processes and their representation in global climate models. We assess the simulation of sea ice in the new Hadley Centre Global Environmental Model (HadGEM1) against the latest available observations. The HadGEM1 sea ice component uses elastic-viscous-plastic dynamics, multiple ice thickness categories, and zero-layer thermodynamics. The model evaluation is focused on the mean state of the key variables of ice concentration, thickness, velocity, and albedo. The model shows good agreement with observational data sets. The variability of the ice forced by the North Atlantic Oscillation is also found to agree with observations.</t>
  </si>
  <si>
    <t>Met Off Hadley Ctr, Exeter EX1 3PB, Devon, England; Los Alamos Natl Lab, Grp T3, Los Alamos, NM 87545 USA; British Antarctic Survey, Cambridge CB3 OET, England; UCL, Ctr Polar Observat &amp; Modeling, London WC1E 6BT, England</t>
  </si>
  <si>
    <t>Met Office - UK; Hadley Centre; United States Department of Energy (DOE); Los Alamos National Laboratory; UK Research &amp; Innovation (UKRI); Natural Environment Research Council (NERC); NERC British Antarctic Survey; University of London; University College London</t>
  </si>
  <si>
    <t>McLaren, AJ (corresponding author), Met Off Hadley Ctr, Fitzroy Rd, Exeter EX1 3PB, Devon, England.</t>
  </si>
  <si>
    <t>alison.mclaren@metoffice.gov.uk; ann.keen@metoffice.gov.uk</t>
  </si>
  <si>
    <t>Lipscomb, William/AAR-8668-2021; Gregory, Jonathan/J-2939-2016; Laxon, Seymour/C-1644-2008; McLaren, Alison/GRE-9659-2022</t>
  </si>
  <si>
    <t>Gregory, Jonathan/0000-0003-1296-8644; McLaren, Alison/0009-0005-2195-1758; Hewitt, Helene/0000-0001-7432-6001</t>
  </si>
  <si>
    <t>Natural Environment Research Council [bas010014] Funding Source: researchfish; NERC [bas010014] Funding Source: UKRI</t>
  </si>
  <si>
    <t>C12014</t>
  </si>
  <si>
    <t>10.1029/2005JC003033</t>
  </si>
  <si>
    <t>120TC</t>
  </si>
  <si>
    <t>WOS:000243107900001</t>
  </si>
  <si>
    <t>Aguado, MT; Rouse, GW</t>
  </si>
  <si>
    <t>Aguado, M. Teresa; Rouse, Greg W.</t>
  </si>
  <si>
    <t>First record of Sphaerodoridae (Phyllodocida: Annelida) from hydrothermal vents</t>
  </si>
  <si>
    <t>ZOOTAXA</t>
  </si>
  <si>
    <t>Sphaerodoridae; Sphaerodoropsis; deep sea; Polychaeta; proventricle; Syllidae</t>
  </si>
  <si>
    <t>POLYCHAETA; GENUS; SYLLIDAE; POSITION</t>
  </si>
  <si>
    <t>Sphaerodoropsis anae n. sp. is described from sediments near active hydrothermal vents along the northern part of the Pacific Antarctic ridge, adjacent to the Easter Microplate. Two distinct features principally characterize Sphaerodoropsis anae n. sp., the presence of a well-developed proventricle, quite similar to the proventricle found in Syllidae, and bi-dentate compound chaetae with spinulation. It is also characterized by the presence of four macrotubercles per transverse row, with the lateral ones pear-shaped and the median macrotubercles spherical and smaller. Types of other Sphaerodoropsis species were examined and Sphaerodoropsis biserialis (Berkeley &amp; Berkeley, 1944) also has compound chaetae with spinulation. This feature was not previously described in this species. Some comments about the current systematics of Sphaerodoropsis and Sphaerodoridae are made, as well as a discussion of the proventricle.</t>
  </si>
  <si>
    <t>Univ Autonoma Madrid, Fac Ciencias, Dept Biol Zool, E-28049 Madrid, Spain; Scripps Inst Oceanog, Marine Biol Res Div, La Jolla, CA 92093 USA</t>
  </si>
  <si>
    <t>Autonomous University of Madrid; University of California System; University of California San Diego; Scripps Institution of Oceanography</t>
  </si>
  <si>
    <t>Aguado, MT (corresponding author), Univ Autonoma Madrid, Fac Ciencias, Dept Biol Zool, Canto Blanco, E-28049 Madrid, Spain.</t>
  </si>
  <si>
    <t>maite.aguado@uam.es; grouse@ucsd.edu</t>
  </si>
  <si>
    <t>Aguado, M. Teresa/B-3814-2014; Rouse, Gregory/AAW-1494-2021</t>
  </si>
  <si>
    <t>Aguado, M. Teresa/0000-0002-5583-7516; Rouse, Gregory/0000-0001-9036-9263</t>
  </si>
  <si>
    <t>MAGNOLIA PRESS</t>
  </si>
  <si>
    <t>AUCKLAND</t>
  </si>
  <si>
    <t>PO BOX 41383, AUCKLAND, ST LUKES 1030, NEW ZEALAND</t>
  </si>
  <si>
    <t>1175-5326</t>
  </si>
  <si>
    <t>1175-5334</t>
  </si>
  <si>
    <t>Zootaxa</t>
  </si>
  <si>
    <t>DEC 18</t>
  </si>
  <si>
    <t>118GO</t>
  </si>
  <si>
    <t>WOS:000242930600001</t>
  </si>
  <si>
    <t>Smith, AM</t>
  </si>
  <si>
    <t>Smith, A. M.</t>
  </si>
  <si>
    <t>Microearthquakes and subglacial conditions</t>
  </si>
  <si>
    <t>ICE STREAM-C; WEST ANTARCTICA; BASAL CONDITIONS; EARTHQUAKES; GLACIER; BAKANINBREEN; ICEQUAKES; SVALBARD</t>
  </si>
  <si>
    <t>Ten passive seismic recording stations were deployed in a 9 km by 6 km array on Rutford Ice Stream, West Antarctica, to detect microearthquakes from the ice stream bed. The array covered an area where a varying distribution of basal sedimentary conditions had been identified from seismic reflection surveys and interpreted as areas of both basal sliding and subglacial sediment deformation. The passive seismic experiment was designed to give an independent confirmation of this interpretation, as basal sliding is believed to be associated with the release of more acoustic energy than a deforming bed. The results show that this is the case, basal sliding producing six times more events. This confirms that the spatial pattern of basal conditions does indeed reflect the distribution of different ice flow mechanisms. It also shows that microearthquake monitoring can be a valuable new technique for mapping ice stream basal conditions over wide areas.</t>
  </si>
  <si>
    <t>Smith, AM (corresponding author), British Antarctic Survey, NERC, High Cross,Madingley Rd, Cambridge CB3 0ET, England.</t>
  </si>
  <si>
    <t>amsm@bas.ac.uk</t>
  </si>
  <si>
    <t>DEC 16</t>
  </si>
  <si>
    <t>L24501</t>
  </si>
  <si>
    <t>10.1029/2006GL028207</t>
  </si>
  <si>
    <t>118KZ</t>
  </si>
  <si>
    <t>WOS:000242942500006</t>
  </si>
  <si>
    <t>Lam, B; Simpson, AJ</t>
  </si>
  <si>
    <t>Lam, Buuan; Simpson, Andre J.</t>
  </si>
  <si>
    <t>Passive sampler for dissolved organic matter in freshwater environments</t>
  </si>
  <si>
    <t>ANALYTICAL CHEMISTRY</t>
  </si>
  <si>
    <t>PREPARATIVE ISOLATION; SOLID-STATE; NMR; SEPARATION; CARBON; RESINS; DAX-8</t>
  </si>
  <si>
    <t>A passive sampler for the isolation of dissolved organic matter (DOM) from freshwater environments is described. The sampler consists of a molecular weight selective membrane ( 1000 kDa) and an anion exchange resin (diethylaminoethylcellulose (DEAE-cellulose)). NMR indicates the samplers isolate DOM that is nearly indistinguishable from that isolated using the batch DEAE-cellulose procedure. In a comparative study DOM isolated from Lake Ontario cost similar to$ 0.30/mg to isolate using the passive samplers while DOM isolated using the traditional batch procedure cost similar to$ 8- 10/mg. The samplers have been shown to be effective in a range of freshwater environments including a large inland lake ( Lake Ontario), fast flowing tributary, and wetland. Large amounts ( gram quantities of DOM) can be easily isolated by increasing the size or number of samplers deployed. Samplers are easy to construct, negate the need for pressure filtering, and also permit a range of temporal and spatial experiments that would be very difficult or impossible to perform using conventional approaches. For example, DOM can be monitored on a regular basis at numerous different locations, or samplers could be set at different depths in large lakes. Furthermore, they could potentially be deployed into hard to reach environments such as wells, groundwater aquifers, etc., and as they are easy to use, they can be mailed to colleagues or included with expeditions going to difficult to reach places such as the Arctic and Antarctic.</t>
  </si>
  <si>
    <t>Univ Toronto, Dept Chem, Scarborough, ON M1C 1A4, Canada</t>
  </si>
  <si>
    <t>University of Toronto; University Toronto Scarborough</t>
  </si>
  <si>
    <t>Simpson, AJ (corresponding author), Univ Toronto, Dept Chem, Scarborough Campus, Scarborough, ON M1C 1A4, Canada.</t>
  </si>
  <si>
    <t>andre.simpson@utoronto.ca</t>
  </si>
  <si>
    <t>AMER CHEMICAL SOC</t>
  </si>
  <si>
    <t>1155 16TH ST, NW, WASHINGTON, DC 20036 USA</t>
  </si>
  <si>
    <t>0003-2700</t>
  </si>
  <si>
    <t>1520-6882</t>
  </si>
  <si>
    <t>ANAL CHEM</t>
  </si>
  <si>
    <t>Anal. Chem.</t>
  </si>
  <si>
    <t>DEC 15</t>
  </si>
  <si>
    <t>10.1021/ac0608523</t>
  </si>
  <si>
    <t>116TJ</t>
  </si>
  <si>
    <t>WOS:000242824900004</t>
  </si>
  <si>
    <t>Barry, TL; Pearce, JA; Leat, PT; Millar, IL; le Roex, AP</t>
  </si>
  <si>
    <t>Barry, T. L.; Pearce, J. A.; Leat, P. T.; Millar, I. L.; le Roex, A. P.</t>
  </si>
  <si>
    <t>Hf isotope evidence for selective mobility of high-field-strength elements in a subduction setting: South Sandwich Islands</t>
  </si>
  <si>
    <t>EARTH AND PLANETARY SCIENCE LETTERS</t>
  </si>
  <si>
    <t>subduction; geochemistry; slab ends; hafnium isotopes; slab recycling; fluids</t>
  </si>
  <si>
    <t>EAST SCOTIA RIDGE; TRACE-ELEMENTS; MAGMA GENESIS; MANTLE FLOW; GEOCHEMICAL EVIDENCE; MARINE-SEDIMENTS; MARIANA ARC; CONSTRAINTS; SLAB; ND</t>
  </si>
  <si>
    <t>Hf-176/Hf-177 isotopes provide information about the behaviour of so-called immobile elements in subduction environments. Early studies of Hf isotopes in subduction zones reached different conclusions regarding the mobility of high-field-strength elements during subduction-related processes. To test the behaviour of Hf during subduction, we have examined the young, intraoceanic South Sandwich subduction system. Combined Hf-176/Hf-177 and trace element ratios reveal that Hf may behave as both immobile and mobile, depending upon the exact spatial relationship of the arc volcano to the slab. Throughout most of the arc, magmas show no detectable Hf transfer from the slab to the wedge, perhaps because enrichment of the wedge took place by Hf-deficient, fluid-dominated processes. On the basis of Delta epsilon Nd values, which describe the Nd isotope deviation from a local MORB-OIB array, we can discern that northern volcanoes of the arc require a source enriched by fluids that originated from the oceanic crust, whereas southern are volcanoes have a source modified by a higher proportion of sediment-derived fluids. However, close to the southern slab edge and in rear-arc settings, arc magmas were derived from a source that had undergone Hf addition; we attribute this to element transfer via partial melts from sediment. This implies that Hf mobility from the slab is possible where temperatures are sufficiently high to induce sediment melting rather than fluid generation alone. The implication of this work, for the majority of the arc, is that sediment-derived fluids contribute to magmatism and that sediment-derived melt does not. (c) 2006 Elsevier B.V. All rights reserved.</t>
  </si>
  <si>
    <t>Cardiff Univ, BAS, NIGL, BGS, Keyworth NG12 5GG, Notts, England; Cardiff Univ, Sch Earth Ocean &amp; Planetary Sci, Cardiff CF10 3YE, Wales; British Antarctic Survey, Cambridge CB3 0ET, England; British Geol Survey, NIGL, BGS, Keyworth NG12 5GG, Notts, England; Univ Cape Town, Dept Geol, ZA-7700 Rondebosch, South Africa</t>
  </si>
  <si>
    <t>Cardiff University; UK Research &amp; Innovation (UKRI); Natural Environment Research Council (NERC); NERC British Geological Survey; Cardiff University; UK Research &amp; Innovation (UKRI); Natural Environment Research Council (NERC); NERC British Antarctic Survey; UK Research &amp; Innovation (UKRI); Natural Environment Research Council (NERC); NERC British Geological Survey; University of Cape Town</t>
  </si>
  <si>
    <t>Barry, TL (corresponding author), Open Univ, Volcano Dynam Grp, CEPSAR, Walton Hall, Milton Keynes MK7 6AA, Bucks, England.</t>
  </si>
  <si>
    <t>T.L.Barry@open.ac.uk</t>
  </si>
  <si>
    <t>Pearce, Julian A/C-5807-2009; Millar, Ian L/F-1541-2010</t>
  </si>
  <si>
    <t>Barry, Tiffany/0000-0001-6853-6838</t>
  </si>
  <si>
    <t>0012-821X</t>
  </si>
  <si>
    <t>1385-013X</t>
  </si>
  <si>
    <t>EARTH PLANET SC LETT</t>
  </si>
  <si>
    <t>Earth Planet. Sci. Lett.</t>
  </si>
  <si>
    <t>10.1016/j.epsl.2006.09.034</t>
  </si>
  <si>
    <t>122UE</t>
  </si>
  <si>
    <t>WOS:000243251700001</t>
  </si>
  <si>
    <t>Tao, L; Kannan, K; Kajiwara, N; Costa, MM; Fillmann, G; Takahashi, S; Tanabe, S</t>
  </si>
  <si>
    <t>Tao, Lin; Kannan, Kurunthachalam; Kajiwara, Natsuko; Costa, Monica M.; Fillmann, Gilberto; Takahashi, Shin; Tanabe, Shinsuke</t>
  </si>
  <si>
    <t>Perfluorooctanesulfonate and related fluorochemicals in albatrosses, elephant seals, penguins, and Polar Skuas from the Southern Ocean</t>
  </si>
  <si>
    <t>ENVIRONMENTAL SCIENCE &amp; TECHNOLOGY</t>
  </si>
  <si>
    <t>PERFLUORINATED COMPOUNDS; SULFONATE PFOS; NORTH PACIFIC; ACIDS; BIRDS; BEARS; FISH; ACCUMULATION; CONTAMINANTS; EXPOSURE</t>
  </si>
  <si>
    <t>Perfluorinated chemicals (PFCs) have been used as surfactants in industrial and commercial products for over 50 years. Earlier studies of the geographical distribution of PFCs focused primarily on the Northern Hemisphere, while little attention was paid to the Southern Hemisphere. In this study, livers from eight species of albatrosses, blood from elephant seal, and blood and eggs from penguins and polar skua collected from the Southern Ocean and the Antarctic during 1995 - 2005 were analyzed for 10 PFCs. In addition, for comparison with the Southern Ocean samples, we analyzed liver, sera, and eggs from two species of albatrosses from Midway Atoll in the North Pacific Ocean. Perfluorooctanesulfonate (PFOS) and perfluorooctanoic acid (PFOA) were found in livers of albatrosses from the Southern Ocean. PFOS was the major contaminant, although the concentrations were &lt; 5 ng/g, wet wt, in 92% of the albatross livers analyzed. PFOA was detected in 30% of the albatross livers, with a concentration range of &lt; 0.6 - 2.45 ng/g, wet wt. Other PFCs, including long-chain perfluorocarboxylates (PFCAs), were below the limits of quantitation in livers of albatrosses from the Southern Ocean. In liver, sera, and eggs of albatrosses from the North Pacific Ocean, long-chain PFCAs (perfluorononanoate, perfluorodecanoate, perfluoroundecanoate, and perfluorododecanoate) were found at concentrations similar to those of PFOS and PFOA. The mean concentration of PFOS in livers of Laysan albatrosses from the North Pacific Ocean (5.1 ng/g, wet wt) was higher than that in several species of albatrosses from the Southern Ocean (2.2 ng/g, wet wt). Species-specific differences in the concentrations of PFOS were noted among Southern Ocean albatrosses, whereas geographical differences in PFOS concentrations among the Indian Ocean, South Pacific Ocean, and South Atlantic Ocean were insignificant. Concentrations of PFOS and PFOA were, respectively, 2- and 17-fold higher in liver than in sera of Laysan albatrosses. PFOS was found in the blood of elephant seals from Antarctica at concentrations ranging from &lt; 0.08 to 3.52 ng/mL. PFOS was found in eggs (2.1 - 3.1 ng/g) and blood (&lt; 0.24 - 1.4 ng/mL) of polar skuas but was not detected in penguins from Antarctica. Our study documents the existence of low but detectable levels of PFOS and PFOA in Southern Hemisphere fauna, suggesting distribution of these compounds on a global scale.</t>
  </si>
  <si>
    <t>SUNY Albany, Sch Publ Hlth, Wadsworth Ctr, New York State Dept Hlth,Dept Environm Hlth Sci, Albany, NY 12201 USA; Ehime Univ, Ctr Marine Environm Studies, Matsuyama, Ehime 7908577, Japan; Fundacao Univ Fed Rio Grande, Dept Oceanog, BR-96201900 Rio Grande, RS, Brazil</t>
  </si>
  <si>
    <t>Wadsworth Center; State University of New York (SUNY) System; State University of New York (SUNY) Albany; Ehime University; Universidade Federal do Rio Grande</t>
  </si>
  <si>
    <t>Kannan, K (corresponding author), SUNY Albany, Sch Publ Hlth, Wadsworth Ctr, New York State Dept Hlth,Dept Environm Hlth Sci, Empire State Plaza,POB 509, Albany, NY 12201 USA.</t>
  </si>
  <si>
    <t>kkannan@wadsworth.org</t>
  </si>
  <si>
    <t>Muelbert, Monica/T-3935-2019; Fillmann, Gilberto/AAK-1497-2020; Nomiyama, Kei/G-6950-2013; Muelbert, Mônica Mathias Costa/AAQ-5925-2021; Tanabe, Shinsuke/G-6950-2013</t>
  </si>
  <si>
    <t>Fillmann, Gilberto/0000-0001-7615-8128; Nomiyama, Kei/0000-0002-8012-3806; Muelbert, Mônica Mathias Costa/0000-0002-5992-5994; Tanabe, Shinsuke/0000-0002-0911-6232; Kajiwara, Natsuko/0000-0003-0201-3721</t>
  </si>
  <si>
    <t>0013-936X</t>
  </si>
  <si>
    <t>1520-5851</t>
  </si>
  <si>
    <t>ENVIRON SCI TECHNOL</t>
  </si>
  <si>
    <t>Environ. Sci. Technol.</t>
  </si>
  <si>
    <t>10.1021/es061513u</t>
  </si>
  <si>
    <t>Engineering, Environmental; Environmental Sciences</t>
  </si>
  <si>
    <t>Engineering; Environmental Sciences &amp; Ecology</t>
  </si>
  <si>
    <t>116HP</t>
  </si>
  <si>
    <t>WOS:000242793400033</t>
  </si>
  <si>
    <t>Zhu, RB; Kong, DM; Sun, LG; Geng, JJ; Wang, XR; Glindemann, D</t>
  </si>
  <si>
    <t>Zhu, Renbin; Kong, Deming; Sun, Liguang; Geng, Jinju; Wang, Xiaorong; Glindemann, Dietmar</t>
  </si>
  <si>
    <t>Tropospheric phosphine and its sources in coastal Antarctica</t>
  </si>
  <si>
    <t>MATRIX-BOUND PHOSPHINE; SOILS; EMISSION; SNOWPACK</t>
  </si>
  <si>
    <t>Earlier reports show very low concentrations of phosphine in remote air of the lower troposphere of nonpolar regions, in the low ng m(-3) range during the night and in the pg m(-3) range during daylight around noon. In this study, abnormally and unexpectedly high phosphine concentrations (30.0-407.8 ng m(-3), 11 locations) were found in polar air samples collected on Millor Peninsula, eastern Antarctica and Fildes Peninsula, western Antarctica. The maximum concentration was measured in the atmosphere of penguin colonies. Field phosphine emission rates from four colonies were 8.99 ng m(-2) h(-1) (skua colony), 9.56 ng m(-2) h(-1) (gentoo penguin colony), 39.96 ng m(-2) h(-1) (seal colony) and 63.58 ng m(-2) h(-1) (empire penguin colony), respectively. Our air sampling sites are located downwind of two large penguin colonies, indicating that penguin colony emission is the predominant source for atmospheric PH3 on Millor Peninsula. Laboratory scale incubation of ornithogenic soils amended by penguin guanos yielded a maximum PH3 production rate of 0.58 ng kg(-1) d(-1) specifically at low temperature (4 degrees C). Significant concentrations of phosphine occur in the atmosphere of coastal Antarctica and confirm the existence of a small gaseous link in the phosphorus cycle of the Antarctic tundra ecosystem.</t>
  </si>
  <si>
    <t>Univ Sci &amp; Technol China, Inst Polar Environm, Hefei 230026, Anhui Province, Peoples R China; Nanjing Univ, State Key Lab Pollut Control &amp; Resource Reuse, Nanjing 210093, Peoples R China; Glindemann Environm Serv, D-06126 Halle, Germany</t>
  </si>
  <si>
    <t>Zhu, RB (corresponding author), Univ Sci &amp; Technol China, Inst Polar Environm, Hefei 230026, Anhui Province, Peoples R China.</t>
  </si>
  <si>
    <t>10.1021/es061601e</t>
  </si>
  <si>
    <t>WOS:000242793400035</t>
  </si>
  <si>
    <t>Marchitto, TM; Broecker, WS</t>
  </si>
  <si>
    <t>Marchitto, Thomas M.; Broecker, Wallace S.</t>
  </si>
  <si>
    <t>Deep water mass geometry in the glacial Atlantic Ocean: A review of constraints from the paleonutrient proxy Cd/Ca</t>
  </si>
  <si>
    <t>cadmium; delta(13)C; air-sea; paleoceanography : geochemical tracers; paleoceanography : glacial; paleoceanography : thermohaline</t>
  </si>
  <si>
    <t>BENTHIC FORAMINIFERAL CD/CA; ANTARCTIC SEA-ICE; NORTH-ATLANTIC; SOUTHERN-OCEAN; THERMOHALINE CIRCULATION; ISOTOPIC COMPOSITION; ABYSSAL CIRCULATION; LAST DEGLACIATION; TROPICAL ATLANTIC; ATMOSPHERIC CO2</t>
  </si>
  <si>
    <t>Paleonutrient proxies currently provide the strongest constraints on the past spatial distribution of deep water masses. We review the state of knowledge derived from the trace metal proxy Cd/Ca for the Atlantic Ocean during the Last Glacial Maximum (LGM). We compile published benthic foraminiferal Cd/Ca data, supplemented with new data, to reconstruct meridional Cd sections through the Holocene and LGM Atlantic. Holocene Cd/Ca reflects the modern water masses North Atlantic Deep Water (NADW), Antarctic Bottom Water (AABW), and Antarctic Intermediate Water (AAIW) reasonably well, except for anomalously high values in the intermediate to mid-depth far North Atlantic. LGM Cd/Ca clearly shows that NADW was replaced by the shallower Glacial North Atlantic Intermediate Water (GNAIW), with significant northward expansion of AABW. The boundary level between GNAIW and AABW was very abrupt, occurring between similar to 2200 and 2500 m modern water depth. Combined Cd/Ca and Cibicidoides delta(13)C data allow us to also calculate the air-sea signature of delta(13)C (delta(13)C(as)). The LGM Atlantic can be explained entirely by mixing between high-delta(13)C(as) GNAIW and low-delta(13)C(as) AABW. Negative delta(13)C(as) values in glacial AABW were likely caused by poor ventilation during formation, probably associated with extensive sea ice coverage. Overall, our knowledge base would benefit from improved data coverage in the South Atlantic and Southern Ocean, and a better understanding of ancillary effects on the Cd/Ca proxy itself.</t>
  </si>
  <si>
    <t>Univ Colorado, Dept Geol Sci, Boulder, CO 80309 USA; Univ Colorado, Inst Arctic &amp; Alpine Res, Boulder, CO 80309 USA; Columbia Univ, Lamont Doherty Earth Observ, Palisades, NY 10964 USA</t>
  </si>
  <si>
    <t>University of Colorado System; University of Colorado Boulder; University of Colorado System; University of Colorado Boulder; Columbia University</t>
  </si>
  <si>
    <t>Marchitto, TM (corresponding author), Univ Colorado, Dept Geol Sci, Boulder, CO 80309 USA.</t>
  </si>
  <si>
    <t>tom.marchitto@colorado.edu; broecker@ldeo.columbia.edu</t>
  </si>
  <si>
    <t>MARCHITTO, THOMAS/0000-0003-2397-8768</t>
  </si>
  <si>
    <t>Q12003</t>
  </si>
  <si>
    <t>10.1029/2006GC001323</t>
  </si>
  <si>
    <t>118KU</t>
  </si>
  <si>
    <t>WOS:000242942000001</t>
  </si>
  <si>
    <t>Day, JMD; Floss, C; Taylor, LA; Anand, M; Patchen, AD</t>
  </si>
  <si>
    <t>Day, James M. D.; Floss, Christine; Taylor, Lawrence A.; Anand, Mahesh; Patchen, Allan D.</t>
  </si>
  <si>
    <t>Evolved mare basalt magmatism, high Mg/Fe feldspathic crust, chondritic impactors, and the petrogenesis of Antarctic lunar breccia meteorites Meteorite Hills 01210 and Pecora Escarpment 02007</t>
  </si>
  <si>
    <t>TRACE-ELEMENT DISTRIBUTIONS; ALUMINUM-RICH INCLUSIONS; ALEXANDRA RANGE 94281; REGOLITH BRECCIA; LAPAZ-ICEFIELD; GEOCHEMISTRY; ORIGIN; CHONDRULES; PETROLOGY; PETROGRAPHY</t>
  </si>
  <si>
    <t>Antarctic lunar meteorites Meteorite Hills 01210 and Pecora Escarpment 02007 are breccias that come from different regolith lithologies on the Moon. MET 01210 is composed predominantly of fractionated low-Ti basaltic material and is classified as an immature, predominantly basaltic glassy matrix regolith breccia. PCA 02007 is a predominantly feldspathic regolith breccia consisting of metamorphosed feldspathic, noritic, troctolitic and noritic-anorthosite clasts, agglutinate and impact-glasses, as well as a number of basaltic clasts with mare and possible non-mare affinities. The basalt clasts in MET 0 12 10 have undergone 'Fenner' trend enrichments in iron and may also have witnessed late-stage crystallization of zircon or a zirconium-rich mineral. Some of the features of MET 0 1210 are similar to other basaltic lunar breccia meteorites (e.g., Northwest Africa 773; Elephant Moraine 87521/96008; Yamato 793274/981031), but it is not paired with them. The presence of metamorphic anorthositic clasts as well as agglutinates indicates a small regolith component. Similarities with previously discovered evolved (e.g., LaPaz Icefield 02205; Northwest Africa 032) and ferroan (e.g., Asuka 881757; Yamato 793169) basaltic lunar meteorites suggest a similar mare source region for MET 01210. Despite lack of evidence for pairing, PCA 02007 shares many features with other feldspathic regolith breccias (e.g., Yamato 791197, Queen Alexandra Range 94281), including a high Mg/Fe whole-rock composition, glass spherules, agglutinate fragments and a diverse clast inventory spanning the range of ferroan anorthosite and high magnesium suite rocks. Some of the basalt fragments in this sample are fractionated and have an igneous origin. However, the majority of the basalt fragments are impact melt clasts. PCA 02007 supports previous studies of feldspathic lunar meteorites that have suggested an aluminous crust for the Moon, with compositions more similar to magnesium granulite breccias than ferroan anorthosites. A 'chondrule-like' fragment found in PCA 02007 and unlike any previously described lunar material is described and tentatively identified as the remnants of a chondritic lunar impactor. This clast is porphyritic with equant olivines that have forsterite-rich cores (Fo(&gt; 98)), extreme normal zonation to more fayalitic rims (Fo(&gt; 44)), and a mineral assemblage with rare earth element abundances distinct from described lunar material and more similar to chondrules found in ordinary or carbonaceous chondrites. Its discovery and description is significant for understanding the composition of lunar impactors. Previously, the main evidence for chondritic lunar impactors was from chondritic relative abundances and near chondritic ratios of highly siderophile elements in lunar impact melt breccias. However, the presence of this clast, along with two other chondritic clasts from Apollo soils 12037 and 15602, provides clues to the identity of ancient meteorite impactors on the Moon. (c) 2006 Elsevier Inc. All rights reserved.</t>
  </si>
  <si>
    <t>Univ Tennessee, Dept Earth &amp; Planetary Sci, Planetary Geosci Inst, Knoxville, TN 37996 USA; Washington Univ, Space Sci Lab, St Louis, MO 63130 USA; Nat Hist Museum, Dept Mineral, London SW7 5BD, England</t>
  </si>
  <si>
    <t>University of Tennessee System; University of Tennessee Knoxville; Washington University (WUSTL); Natural History Museum London</t>
  </si>
  <si>
    <t>Day, JMD (corresponding author), Univ Tennessee, Dept Earth &amp; Planetary Sci, Planetary Geosci Inst, Knoxville, TN 37996 USA.</t>
  </si>
  <si>
    <t>jday13@utk.edu</t>
  </si>
  <si>
    <t>Anand, Mahesh/E-9259-2013; Day, James/A-5099-2010</t>
  </si>
  <si>
    <t>Day, James/0000-0001-9520-3465; Anand, Mahesh/0000-0003-4026-4476</t>
  </si>
  <si>
    <t>10.1016/j.gca.2006.05.001</t>
  </si>
  <si>
    <t>121OF</t>
  </si>
  <si>
    <t>WOS:000243166200005</t>
  </si>
  <si>
    <t>Vigentini, I; Merico, A; Tutino, ML; Compagno, C; Marino, G</t>
  </si>
  <si>
    <t>Vigentini, Ileana; Merico, Annamaria; Tutino, Maria Luisa; Compagno, Concetta; Marino, Gennaro</t>
  </si>
  <si>
    <t>Optimization of recombinant human nerve growth factor production in the psychrophilic Pseudoalteromonas haloplanktis</t>
  </si>
  <si>
    <t>JOURNAL OF BIOTECHNOLOGY</t>
  </si>
  <si>
    <t>Pseudoalteromonas haloplanktis TAC125; human nerve growth factor; recombinant protein production; fermentation</t>
  </si>
  <si>
    <t>ESCHERICHIA-COLI; ALPHA-AMYLASE; EXPRESSION; BACTERIUM; FERMENTATION; SUPERFAMILY; ALTEROMONAS; SEQUENCE; CULTURE; MOTIF</t>
  </si>
  <si>
    <t>The optimization of production strategy is a very useful tool to attain high level of recombinant protein at a low cost. A promising biotechnological application of psychrophilic bacteria is their use as non-conventional host for the recombinant production of useful proteins. The lowering of the expression temperature can in fact facilitate the correct folding of heterologous proteins that accumulate in insoluble form as inclusion bodies when produced in Escherichia coli. An example of such difficult proteins is the human nerve growth factor (hNGF). The gene encoding the mature form of hNGF was expressed in the Antarctic bacterium Pseudoalteromonas haloplanktis TAC125 at 4 degrees C. Western blotting experiments demonstrated that the protein was produced in soluble form and translocated in the periplasmic space. Furthermore, an analytical gel filtration chromatography confirmed that the recombinant protein was largely in dimeric form. For a more efficient recombinant rhNGF production, the influence of cultivation operational strategies and growth conditions (medium composition, temperature, specific growth rate) on biomass yield and recombinant protein production was investigated in batch and chemostat cultivations. The highest product yield of soluble rhNGF (7.5 Mg-NGF g(dryweight)(-1)) has been achieved in batch culture at 4 degrees C on Schatz medium with addition of tryptone and vitamins. (c) 2006 Elsevier B.V. All rights reserved.</t>
  </si>
  <si>
    <t>Univ Milan, Dipartimento Sci Biomol &amp; Biotecnol, I-20133 Milan, Italy; Univ Naples Federico II, Fac Sci Biotecnol, Dipartimento Chim Organ &amp; Biochim, I-80126 Naples, Italy</t>
  </si>
  <si>
    <t>University of Milan; University of Naples Federico II</t>
  </si>
  <si>
    <t>Compagno, C (corresponding author), Univ Milan, Dipartimento Sci Biomol &amp; Biotecnol, Via Celoria,26, I-20133 Milan, Italy.</t>
  </si>
  <si>
    <t>concetta.compagno@unimi.it</t>
  </si>
  <si>
    <t>TUTINO, MARIA LUISA/L-1834-2013</t>
  </si>
  <si>
    <t>Tutino, Maria Luisa/0000-0002-4978-6839; Vigentini, Ileana/0000-0002-6714-3722</t>
  </si>
  <si>
    <t>0168-1656</t>
  </si>
  <si>
    <t>J BIOTECHNOL</t>
  </si>
  <si>
    <t>J. Biotechnol.</t>
  </si>
  <si>
    <t>10.1016/j.jbiotec.2006.05.019</t>
  </si>
  <si>
    <t>Biotechnology &amp; Applied Microbiology</t>
  </si>
  <si>
    <t>114RK</t>
  </si>
  <si>
    <t>WOS:000242683100014</t>
  </si>
  <si>
    <t>Lamare, MD; Barker, MF; Lesser, MP; Marshall, C</t>
  </si>
  <si>
    <t>Lamare, Miles D.; Barker, Mike F.; Lesser, Michael P.; Marshall, Craig</t>
  </si>
  <si>
    <t>DNA photorepair in echinoid embryos: effects of temperature on repair rate in Antarctic and non-Antarctic species</t>
  </si>
  <si>
    <t>JOURNAL OF EXPERIMENTAL BIOLOGY</t>
  </si>
  <si>
    <t>UV-R; photoreactivation; photorepair; photolyase; cyclobutane pyrimidine dimers; CPDs; Antarctica; echinoid; embryo; temperature compensation</t>
  </si>
  <si>
    <t>SEA-URCHIN EMBRYOS; INDUCED MORPHOLOGICAL ABNORMALITY; ULTRAVIOLET-RADIATION; STERECHINUS-NEUMAYERI; PYRIMIDINE DIMERS; OZONE DEPLETION; MARINE DIATOM; B RADIATION; DAMAGE; PHOTOREACTIVATION</t>
  </si>
  <si>
    <t>To determine if an Antarctic species repairs DNA at rates equivalent to warmer water equivalents, we examined repair of UV-damaged DNA in echinoid embryos and larvae. DNA repair by photoreactivation was compared in three species Sterechinus neumayeri (Antarctica), Evechinus chloroticus (New Zealand) and Diadema setosum (Tropical Australia) spanning a latitudinal gradient from polar (77.86 degrees S) to tropical (19.25 degrees S) environments. We compared rates of photoreactivation as a function of ambient and experimental temperature in all three species, and rates of photoreactivation as a function of embryonic developmental stage in Sterechinus. DNA damage was quantified from cyclobutane pyrimidine dimer (CPD) concentrations and rates of abnormal embryonic development. This study established that in the three species and in three developmental stages of Sterechinus, photoreactivation was the primary means of removing CPDs, was effective in repairing all CPDs in less than 24 h, and promoted significantly higher rates of normal development in UV-exposed embryos. CPD photorepair rate constant (k) in echinoid embryos ranged from 0.33 to 1.25 h(-1), equating to a time to 50% repair of between 0.6 and 2.1 h and time to 90% repair between 3.6 and 13.6 h. We observed that experimental temperature influenced photoreactivation rate. In Diadema plutei, the photoreactivation rate constant increased from k= 0.58 h(-1) to 1.25 h(-1), with a Q10= 2.15 between 22 degrees C and 32 degrees C. When compared among the three species across experimental temperatures (-1.9 to 32 degrees C), photoreactivation rates vary with a Q10= 1.39. Photoreactivation rates were examined in three developmental stages of Sterechinus embryos, and while not significantly different, repair rates tended to be higher in the younger blastula and gastrula stages compared with later stage embryos. We concluded that photoreactivation is active in the Antarctic Sterechinus, but at a significantly slower (non-temperature compensated) rate. The low level of temperature compensation in photoreactivation may be one explanation for the relatively high sensitivity of Antarctic embryos to UV-R in comparison with non- Antarctic equivalents.</t>
  </si>
  <si>
    <t>Univ Otago, Dept Marine Sci, Dunedin, New Zealand; Univ New Hampshire, Dept Zool, Durham, NH 03824 USA; Univ New Hampshire, Ctr Marine Biol, Durham, NH 03824 USA; Univ Otago, Dept Biochem, Dunedin, New Zealand</t>
  </si>
  <si>
    <t>University of Otago; University System Of New Hampshire; University of New Hampshire; University System Of New Hampshire; University of New Hampshire; University of Otago</t>
  </si>
  <si>
    <t>Lamare, MD (corresponding author), Univ Otago, Dept Marine Sci, Dunedin, New Zealand.</t>
  </si>
  <si>
    <t>Marshall, Craig J./C-6668-2009; Lamare, Miles M/A-7020-2010</t>
  </si>
  <si>
    <t>Marshall, Craig J./0000-0003-4186-0368; Lamare, Miles/0000-0001-8656-7240</t>
  </si>
  <si>
    <t>COMPANY OF BIOLOGISTS LTD</t>
  </si>
  <si>
    <t>BIDDER BUILDING CAMBRIDGE COMMERCIAL PARK COWLEY RD, CAMBRIDGE CB4 4DL, CAMBS, ENGLAND</t>
  </si>
  <si>
    <t>0022-0949</t>
  </si>
  <si>
    <t>J EXP BIOL</t>
  </si>
  <si>
    <t>J. Exp. Biol.</t>
  </si>
  <si>
    <t>10.1242/jeb.02598</t>
  </si>
  <si>
    <t>111XX</t>
  </si>
  <si>
    <t>WOS:000242490300025</t>
  </si>
  <si>
    <t>König, M; Jokat, W</t>
  </si>
  <si>
    <t>Koenig, Matthias; Jokat, Wilfried</t>
  </si>
  <si>
    <t>The Mesozoic breakup of the Weddell Sea</t>
  </si>
  <si>
    <t>SOUTH-ATLANTIC OCEAN; DRONNING-MAUD-LAND; INDIAN-OCEAN; FALKLAND ISLANDS; EAST ANTARCTICA; MARINE GRAVITY; GEOPHYSICAL EVIDENCE; MAGNETIC-ANOMALIES; CONTINENTAL-MARGIN; SPREADING HISTORY</t>
  </si>
  <si>
    <t>A new set of rotations is presented that describes a refined model for the early opening of the Weddell Sea between South America and Antarctica and the Mesozoic breakup of Gondwana. Published high-resolution aeromagnetic data from the eastern Weddell Sea and additional track data farther west in the Weddell Sea were used to constrain the new model for the opening of the Weddell Sea. Rotation parameters derived for the South America-Antarctica spreading regime were combined with constraints on the South America-Africa and Africa-Antarctica spreading systems to calculate a refined model for the Mesozoic breakup of Gondwana. Thereafter, at the time when the north-south oriented separation between Africa and Antarctica is initiated by rifting in the Somali and Mozambique basins (similar to 167 Ma), stretching and extension takes place in a basin comprising continental crust of the Filchner-Ronne Shelf, the Falkland Island block and the Maurice Ewing Bank. The first true ocean floor in the Weddell Sea is formed at about 147 Ma, after rifting between the Antarctic Peninsula and southernmost South America occurred. This is about 15-20 Myr later than previously estimated. Separation between South America and Antarctica takes place at slow spreading rates (14-12 mm/yr half rate) from 147 to 122 Ma and after 122 Ma (M2) at ultraslow spreading rates (similar to 8 mm/ yr half rate) with little change in the NNW spreading direction throughout this time. A revised age range is proposed for the formation of the Explora Wedge (150-138 Ma), which is more than 30 Myr later than previously published (similar to 183 Ma).</t>
  </si>
  <si>
    <t>Alfred Wegener Inst Polar &amp; Marine Res, D-27515 Bremerhaven, Germany</t>
  </si>
  <si>
    <t>König, M (corresponding author), Alfred Wegener Inst Polar &amp; Marine Res, Postfach 120161, D-27515 Bremerhaven, Germany.</t>
  </si>
  <si>
    <t>mkoenig@awi-bremerhaven.de</t>
  </si>
  <si>
    <t>Jokat, Wilfried/0000-0002-7793-5854</t>
  </si>
  <si>
    <t>DEC 14</t>
  </si>
  <si>
    <t>B12102</t>
  </si>
  <si>
    <t>10.1029/2005JB004035</t>
  </si>
  <si>
    <t>118MS</t>
  </si>
  <si>
    <t>WOS:000242947000003</t>
  </si>
  <si>
    <t>Cusano, AM; Parrilli, E; Marino, G; Tutino, ML</t>
  </si>
  <si>
    <t>Cusano, Angela Maria; Parrilli, Ermenegilda; Marino, Gennaro; Tutino, Maria Luisa</t>
  </si>
  <si>
    <t>A novel genetic system for recombinant protein secretion in the Antarctic Pseudoalteromonas haloplanktis TAC125</t>
  </si>
  <si>
    <t>MICROBIAL CELL FACTORIES</t>
  </si>
  <si>
    <t>INDOLE-3-GLYCEROL PHOSPHATE SYNTHASE; PSYCHROPHILIC ALPHA-AMYLASE; COLD-ADAPTED BACTERIUM; ESCHERICHIA-COLI; ALTEROMONAS-HALOPLANCTIS; SULFOLOBUS-SOLFATARICUS; EXPRESSION; ENZYME; TRANSPORTER; STABILITY</t>
  </si>
  <si>
    <t>Background: The final aim of recombinant protein production is both to have a high specific production rate and a high product quality. It was already shown that using cold-adapted bacteria as host vectors, some intractable proteins can be efficiently produced at temperature as low as 4 C. Results: A novel genetic system for the production and secretion of recombinant proteins in the Antarctic Gram-negative bacterium Pseudoalteromonas haloplanktis TAC125 was set up. This system aims at combining the low temperature recombinant product production with the advantages of extra-cellular protein targeting. The psychrophilic alpha-amylase from Pseudoalteromonas haloplanktis TAB23 was used as secretion carrier. Three chimerical proteins were produced by fusing intra-cellular proteins to C-terminus of the psychrophilic alpha-amylase and their secretion was analysed. Data reported in this paper demonstrate that all tested chimeras were translocated with a secretion yield always higher than 80%. Conclusion: Data presented here demonstrate that the cold gene-expression system is efficient since the secretion yield of tested chimeras is always above 80%. These secretion performances place the alpha-amylase derived secretion system amongst the best heterologous secretion systems in Gram-negative bacteria reported so far. As for the quality of the secreted passenger proteins, data presented suggest that the system also allows the correct disulphide bond formation of chimera components, secreting a fully active passenger.</t>
  </si>
  <si>
    <t>Univ Naples Federico II, Dipartimento Chim Organ &amp; Biochim, I-80126 Naples, Italy; Univ Naples Federico II, Sch Biotechnol Sci, Naples, Italy</t>
  </si>
  <si>
    <t>University of Naples Federico II; University of Naples Federico II</t>
  </si>
  <si>
    <t>Tutino, ML (corresponding author), Univ Naples Federico II, Dipartimento Chim Organ &amp; Biochim, Complesso Univ MS Angelo,Via Cinthia 4, I-80126 Naples, Italy.</t>
  </si>
  <si>
    <t>amcusano@unina.it; erparril@unina.it; gmarino@unina.it; tutino@unina.it</t>
  </si>
  <si>
    <t>TUTINO, MARIA LUISA/L-1834-2013; parrilli, ermenegilda/JAZ-0586-2023; parrilli, ermenegilda/K-4616-2016; Cusano, Angela Maria/CAJ-1936-2022</t>
  </si>
  <si>
    <t>parrilli, ermenegilda/0000-0002-9002-5409; Cusano, Angela Maria/0000-0002-9903-1717; Tutino, Maria Luisa/0000-0002-4978-6839</t>
  </si>
  <si>
    <t>BMC</t>
  </si>
  <si>
    <t>CAMPUS, 4 CRINAN ST, LONDON N1 9XW, ENGLAND</t>
  </si>
  <si>
    <t>1475-2859</t>
  </si>
  <si>
    <t>MICROB CELL FACT</t>
  </si>
  <si>
    <t>Microb. Cell. Fact.</t>
  </si>
  <si>
    <t>10.1186/1475-2859-5-40</t>
  </si>
  <si>
    <t>129HM</t>
  </si>
  <si>
    <t>gold, Green Published</t>
  </si>
  <si>
    <t>WOS:000243719400002</t>
  </si>
  <si>
    <t>Cardoso, JCR; Pinto, VC; Vieira, FA; Clark, MS; Power, DM</t>
  </si>
  <si>
    <t>Cardoso, Joao C. R.; Pinto, Vanda C.; Vieira, Florbela A.; Clark, Melody S.; Power, Deborah M.</t>
  </si>
  <si>
    <t>Evolution of secretin family GPCR members in the metazoa</t>
  </si>
  <si>
    <t>BMC EVOLUTIONARY BIOLOGY</t>
  </si>
  <si>
    <t>PROTEIN-COUPLED RECEPTORS; CYCLASE-ACTIVATING POLYPEPTIDE; VASOACTIVE-INTESTINAL-PEPTIDE; DIURETIC HORMONE-RECEPTOR; GENOME DUPLICATION; INTERNATIONAL UNION; LIGAND SPECIFICITY; SEQUENCE ALIGNMENT; GLUCAGON RECEPTOR; GENE DUPLICATION</t>
  </si>
  <si>
    <t>Background: Comparative approaches using protostome and deuterostome data have greatly contributed to understanding gene function and organismal complexity. The family 2 G-protein coupled receptors (GPCRs) are one of the largest and best studied hormone and neuropeptide receptor families. They are suggested to have arisen from a single ancestral gene via duplication events. Despite the recent identification of receptor members in protostome and early deuterostome genomes, relatively little is known about their function or origin during metazoan divergence. In this study a comprehensive description of family 2 GPCR evolution is given based on in silico and expression analyses of the invertebrate receptor genes. Results: Family 2 GPCR members were identified in the invertebrate genomes of the nematodes C. elegans and C. briggsae, the arthropods D. melanogaster and A. gambiae (mosquito) and in the tunicate C. intestinalis. This suggests that they are of ancient origin and have evolved through gene/genome duplication events. Sequence comparisons and phylogenetic analyses have demonstrated that the immediate gene environment, with regard to gene content, is conserved between the protostome and deuterostome receptor genomic regions. Also that the protostome genes are more like the deuterostome Corticotrophin Releasing Factor (CRF) and Calcitonin/Calcitonin Gene-Related Peptide (CAL/CGRP) receptors members than the other family 2 GPCR members. The evolution of family 2 GPCRs in deuterostomes is characterised by acquisition of new family members, with SCT (Secretin) receptors only present in tetrapods. Gene structure is characterised by an increase in intron number with organismal complexity with the exception of the vertebrate CAL/CGRP receptors. Conclusion: The family 2 GPCR members provide a good example of gene duplication events occurring in tandem with increasing organismal complexity during metazoan evolution. The putative ancestral receptors are proposed to be more like the deuterostome CAL/CGRP and CRF receptors and this may be associated with their fundamental role in calcium regulation and the stress response, both of which are essential for survival.</t>
  </si>
  <si>
    <t>Univ Algarve, Ctr Marine Sci, P-8005139 Faro, Portugal; British Antarctic Survey, Cambridge CB3 0ET, England</t>
  </si>
  <si>
    <t>Universidade do Algarve; UK Research &amp; Innovation (UKRI); Natural Environment Research Council (NERC); NERC British Antarctic Survey</t>
  </si>
  <si>
    <t>Power, DM (corresponding author), Univ Algarve, Ctr Marine Sci, Campus Gambelas, P-8005139 Faro, Portugal.</t>
  </si>
  <si>
    <t>jccardo@ualg.pt; vanda_pinto@hotmail.com; fvieira@ualg.pt; mscl@bas.ac.uk; dpower@ualg.pt</t>
  </si>
  <si>
    <t>Power, Deborah M/D-3333-2011; Pinto, Vanda/H-9446-2013; dos Reis Cardoso, Joao Carlos/M-4151-2013; Clark, Melody/D-7371-2014</t>
  </si>
  <si>
    <t>Power, Deborah M/0000-0003-1366-0246; dos Reis Cardoso, Joao Carlos/0000-0001-7890-0170; Clark, Melody/0000-0002-3442-3824; Pinto, Vanda/0000-0001-9979-1663</t>
  </si>
  <si>
    <t>1471-2148</t>
  </si>
  <si>
    <t>BMC EVOL BIOL</t>
  </si>
  <si>
    <t>BMC Evol. Biol.</t>
  </si>
  <si>
    <t>DEC 13</t>
  </si>
  <si>
    <t>10.1186/1471-2148-6-108</t>
  </si>
  <si>
    <t>Evolutionary Biology; Genetics &amp; Heredity</t>
  </si>
  <si>
    <t>123JV</t>
  </si>
  <si>
    <t>Green Published, gold</t>
  </si>
  <si>
    <t>WOS:000243293100001</t>
  </si>
  <si>
    <t>Vogel, SW; Tulaczyk, S; Carter, S; Renne, P; Turrin, B; Grunow, A</t>
  </si>
  <si>
    <t>Vogel, S. W.; Tulaczyk, S.; Carter, S.; Renne, P.; Turrin, B.; Grunow, A.</t>
  </si>
  <si>
    <t>Geologic constraints on the existence and distribution of West Antarctic subglacial volcanism</t>
  </si>
  <si>
    <t>ICE STREAM-B; RIFT SYSTEM; CONTINENTAL-CRUST; GLACIAL REMOVAL; RADAR ICE; SHEET; BENEATH; MAGMATISM; DISPERSAL; ANOMALIES</t>
  </si>
  <si>
    <t>Strong and abundant magnetic anomalies imaged beneath the West Antarctic Ice Sheet by aerogeophysical surveys have been interpreted as evidence of widespread Late Cenozoic basaltic volcanism, perhaps even a large igneous province. Petrological and geochemical composition of subglacial sediment samples from West Antarctica supports crustal provenance and does not provide positive evidence for the existence of the proposed mafic Late Cenozoic large igneous province. The only two identified basaltic pebbles, out of a total of &gt;500 examined pebbles, are of Mesozoic to Cambrian age. We conjecture that the subglacial large igneous province does not exist or is blanketed by an at least Miocene age sedimentary drape.</t>
  </si>
  <si>
    <t>Univ Calif Santa Cruz, Dept Earth Sci, Santa Cruz, CA 95064 USA; Univ Texas, Inst Geophys, Austin, TX 78759 USA; Univ Calif Berkeley, Geochronol Ctr, Dept Earth &amp; Planetary Sci, Berkeley, CA 94720 USA; Rutgers State Univ, Dept Geol Sci, Piscataway, NJ 08854 USA; Columbia Univ, Lamont Doherty Earth Observ, Palisades, NY USA; Ohio State Univ, Byrd Polar Res Ctr, US Polar Rock Repository, Columbus, OH 43210 USA</t>
  </si>
  <si>
    <t>University of California System; University of California Santa Cruz; University of Texas System; University of Texas Austin; University of California System; University of California Berkeley; Berkeley Geochronolgy Center; Rutgers University System; Rutgers University New Brunswick; Columbia University; University System of Ohio; Ohio State University</t>
  </si>
  <si>
    <t>Vogel, SW (corresponding author), No Illinois Univ, Dept Geol, De Kalb, IL 60115 USA.</t>
  </si>
  <si>
    <t>svogel@geol.niu.edu; tulaczyk@pmc.ucsc.edu; watercat@mail.utexas.edu; prenne@bgc.org; bturrin@rci.rutgers.edu; grunow.1@osu.edu</t>
  </si>
  <si>
    <t>Vogel, Stefan/I-1963-2014; Grunow, Anne/F-7844-2017; Tulaczyk, Slawek/O-7375-2018</t>
  </si>
  <si>
    <t>Grunow, Anne/0000-0002-1655-0424; Renne, Paul/0000-0003-1769-5235; Tulaczyk, Slawek/0000-0002-9711-4332; Vogel, Stefan/0000-0002-4350-7130</t>
  </si>
  <si>
    <t>DEC 12</t>
  </si>
  <si>
    <t>L23501</t>
  </si>
  <si>
    <t>10.1029/2006GL027344</t>
  </si>
  <si>
    <t>118KV</t>
  </si>
  <si>
    <t>WOS:000242942100003</t>
  </si>
  <si>
    <t>Vogel, SW; Tulaczyk, S</t>
  </si>
  <si>
    <t>Vogel, Stefan W.; Tulaczyk, Slawek</t>
  </si>
  <si>
    <t>Ice-dynamical constraints on the existence and impact of subglacial volcanism on West Antarctic ice sheet stability</t>
  </si>
  <si>
    <t>RIFT SYSTEM; STREAM-C; FREEZING BENEATH; RADAR ICE; TRIBUTARIES; ANOMALIES; FLUX; FLOW</t>
  </si>
  <si>
    <t>Subglacial volcanism in West Antarctica may play a crucial role in the dynamics and stability of the West Antarctic Ice Sheet (WAIS). Evidence supporting the existence of an individual subglacial volcanic center (Mt. Casertz) in the upper catchments of Whillans and Kamb Ice Stream (WIS and KIS), comes from a comparison of ice sheet modeling results with measured ice velocities. Lubrication of an area, which otherwise should be frozen to its bed, is best explained by basal melt water generated in the vicinity of Mt. Casertz. The estimated melt water production of Mt. Casertz corresponds to similar to 8% of the total melt water production in the two catchments. This would be sufficient to offset basal freezing in the dormant KIS, relubricating its bed and potentially causing a restart. Near future volcanic activity changes are speculative, but would have far reaching implications on the dynamics and stability of the WAIS requiring further investigation.</t>
  </si>
  <si>
    <t>No Illinois Univ, Dept Geol, De Kalb, IL 60115 USA; Univ Calif Santa Cruz, Dept Earth Sci, Santa Cruz, CA 95064 USA</t>
  </si>
  <si>
    <t>Northern Illinois University; University of California System; University of California Santa Cruz</t>
  </si>
  <si>
    <t>Vogel, Stefan/I-1963-2014; Tulaczyk, Slawek/O-7375-2018</t>
  </si>
  <si>
    <t>Tulaczyk, Slawek/0000-0002-9711-4332; Vogel, Stefan/0000-0002-4350-7130</t>
  </si>
  <si>
    <t>L23502</t>
  </si>
  <si>
    <t>10.1029/2006GL027345</t>
  </si>
  <si>
    <t>WOS:000242942100004</t>
  </si>
  <si>
    <t>Murphy, DJ; Forbes, JM; Walterscheid, RL; Hagan, ME; Avery, SK; Aso, T; Fraser, GJ; Fritts, DC; Jarvis, MJ; McDonald, AJ; Riggin, DM; Tsutsumi, M; Vincent, RA</t>
  </si>
  <si>
    <t>Murphy, D. J.; Forbes, J. M.; Walterscheid, R. L.; Hagan, M. E.; Avery, S. K.; Aso, T.; Fraser, G. J.; Fritts, D. C.; Jarvis, M. J.; McDonald, A. J.; Riggin, D. M.; Tsutsumi, M.; Vincent, R. A.</t>
  </si>
  <si>
    <t>A climatology of tides in the Antarctic mesosphere and lower thermosphere</t>
  </si>
  <si>
    <t>NONMIGRATING SEMIDIURNAL TIDES; UPPER-ATMOSPHERE; PLANETARY-WAVES; NONLINEAR-INTERACTIONS; 12-HOUR OSCILLATION; TIDAL VARIABILITY; CIRCULATION MODEL; MLT REGION; SOUTH-POLE; SOLAR</t>
  </si>
  <si>
    <t>[1] A function that approximates atmospheric tidal behavior in the polar regions is described. This function is fitted to multistation radar measurements of wind in the mesosphere and lower thermosphere with the aim of obtaining a latitude-longitude-height description of the variation of tides over the whole Antarctic continent. Archival wind data sets are combined with present-day ones to fill the spatial distribution of the observations and to reduce the potential effects of spatial aliasing. Multiple years are combined through the compilation of monthly station composite days, yielding results for each month of the year. Despite potential problems associated with year-to-year variations in the tidal phase, a useful climatology of Antarctic zonal and meridional tidal wind components is compiled. The results of the fits reproduce the major features of the high-latitude tidal wind field: the dominance of the semidiurnal migrating mode in the winter months and the presence of a semidiurnal zonal wave number one component in the summer months. It is also found that the summer semidiurnal tide contains a zonal wave number zero component.</t>
  </si>
  <si>
    <t>Australian Govt Antarctic Div, Kingston, Tas, Australia; Univ Colorado, Dept Aerosp Engn Sci, Boulder, CO 80309 USA; Aerosp Corp, Los Angeles, CA USA; Natl Ctr Atmospher Res, High Altitude Observ, Boulder, CO 80307 USA; Cooperat Inst Res Environm Sci, Boulder, CO USA; Natl Inst Polar Res, Tokyo 173, Japan; Univ Canterbury, Dept Phys &amp; Astron, Christchurch 1, New Zealand; NW Res Associates, Colorado Res Associates, Boulder, CO USA; British Antarctic Survey, Div Phys Sci, Cambridge CB3 0ET, England; Univ Adelaide, Dept Phys &amp; Math Phys, Adelaide, SA 5005, Australia</t>
  </si>
  <si>
    <t>Australian Antarctic Division; University of Colorado System; University of Colorado Boulder; Aerospace Corporation - USA; National Center Atmospheric Research (NCAR) - USA; Research Organization of Information &amp; Systems (ROIS); National Institute of Polar Research (NIPR) - Japan; University of Canterbury; NorthWest Research Associates; UK Research &amp; Innovation (UKRI); Natural Environment Research Council (NERC); NERC British Antarctic Survey; University of Adelaide</t>
  </si>
  <si>
    <t>Murphy, DJ (corresponding author), Australian Govt Antarctic Div, Kingston, Tas, Australia.</t>
  </si>
  <si>
    <t>damian.murphy@aad.gov.au; forbes@colorado.edu; richard.walterscheid@eumetstat.int; hagan@ncar.ucar.edu; susan.avery@colorado.edu; t-aso@nipr.ac.jp; g.fraser@phys.canterbury.ac.nz; dave@cora.nwra.com; mjja@bas.ac.uk; adrian.mcdonald@canterbury.ac.nz; riggin@cora.nwra.com; tutumi@uap.nipr.ac.jp; robert.vincent@adelaide.edu.au</t>
  </si>
  <si>
    <t>Vincent, Robert A/E-5450-2013; Forbes, Jeffrey M/B-7234-2016; Hagan, Maura/C-7200-2008</t>
  </si>
  <si>
    <t>Vincent, Robert A/0000-0001-6559-6544; Forbes, Jeffrey M/0000-0001-6937-0796; Hagan, Maura/0000-0002-8866-7429; McDonald, Adrian/0000-0002-1456-6254; Murphy, Damian/0000-0003-1738-5560</t>
  </si>
  <si>
    <t>NERC [bas010022] Funding Source: UKRI; Natural Environment Research Council [bas010022] Funding Source: researchfish</t>
  </si>
  <si>
    <t>D23</t>
  </si>
  <si>
    <t>D23104</t>
  </si>
  <si>
    <t>10.1029/2005JD006803</t>
  </si>
  <si>
    <t>118LB</t>
  </si>
  <si>
    <t>WOS:000242942700002</t>
  </si>
  <si>
    <t>Thoma, M; Grosfeld, K; Lange, MA</t>
  </si>
  <si>
    <t>Thoma, Malte; Grosfeld, Klaus; Lange, Manfred A.</t>
  </si>
  <si>
    <t>Impact of the Eastern Weddell Ice Shelves on water masses in the Eastern Weddell Sea</t>
  </si>
  <si>
    <t>BOTTOM WATER; CIRCULATION BENEATH; NUMERICAL-MODELS; OCEAN; PARAMETERIZATION; SIMULATIONS; HYDROGRAPHY; SENSITIVITY; ANTARCTICA; RESOLUTION</t>
  </si>
  <si>
    <t>We use a primitive equation Ocean General Circulation Model to simulate the ocean circulation regime in the Eastern Weddell Sea. The computer model ROMBAX (Revisited Ocean Model based on Bryan And Cox) is an improved version of an earlier ocean model, which has been developed to allow the simulation of the flow regime in ice shelf covered regions. The Eastern Weddell Ice Shelf (EWIS) region is of particular importance because of its narrow continental shelf and its location at the inflow of water masses from the east into the southern Weddell Sea. We have compared the simulated flow pattern and water properties in the EWIS region with the available sparse observations. While the general observed structure of temperature and salinity is reproduced, the model tends to overestimate the on-shore flow of warm deep waters. This discrepancy is not large enough to seriously influence the ice shelf ocean interaction, which is in good agreement with estimates based on field observations. The mean net melt rate is found to be 0.88 m yr(-1) (2.1 mSv) and has a strong seasonal cycle. Sensitivity studies with different ice shelf configurations (no melting, no ice shelf, closed cavity) show strong impacts on the water mass properties in the EWIS region, with up to 0.7 degrees C difference in temperature and 0.05 in salinity relative to the control run. Our results suggest that the EWIS region is of substantial importance to water mass preconditioning and formation in the Weddell Sea, although no deep or bottom water formation occurs in the eastern Weddell Sea directly.</t>
  </si>
  <si>
    <t>Univ Munster, Inst Geophys, D-48149 Munster, Germany; Univ Bremen, Dept Phys, MARUM, D-2800 Bremen, Germany</t>
  </si>
  <si>
    <t>University of Munster; University of Bremen</t>
  </si>
  <si>
    <t>Thoma, M (corresponding author), British Antarctic Survey, Cambridge CB3 0ET, England.</t>
  </si>
  <si>
    <t>thoma@uni-muenster.de</t>
  </si>
  <si>
    <t>Thoma, Malte/0000-0002-4033-3905; Grosfeld, Klaus/0000-0001-5936-179X</t>
  </si>
  <si>
    <t>C12010</t>
  </si>
  <si>
    <t>10.1029/2005JC003212</t>
  </si>
  <si>
    <t>118LM</t>
  </si>
  <si>
    <t>WOS:000242943800001</t>
  </si>
  <si>
    <t>Robles, V; Cabrita, E; Anel, L; Herráez, MP</t>
  </si>
  <si>
    <t>Robles, V.; Cabrita, E.; Anel, L.; Herraez, M. P.</t>
  </si>
  <si>
    <t>Microinjection of the antifreeze protein type III (AFPIII) in turbot (Scophthalmus maximus) embryos:: Toxicity and protein distribution</t>
  </si>
  <si>
    <t>AQUACULTURE</t>
  </si>
  <si>
    <t>turbot; embryos; AFP; CPA toxicity; confocal microscopy; microinjection; vitrification</t>
  </si>
  <si>
    <t>PERMEABILITY BARRIER; ANTARCTIC FISHES; ARCTIC FISH; GLYCOPROTEINS; VITRIFICATION; CRYOPRESERVATION; OOCYTES; GLYCOPEPTIDES; SPERMATOZOA; ASSAYS</t>
  </si>
  <si>
    <t>Fish embryo cryopreservation has not been achieved. Different methods and alternative cryoprotective agents (CPAs) should be explored in order to succeed in this purpose. Antifreeze proteins (AFPs) are naturally expressed in sub-arctic fish species, and they inhibit the growth of ice crystals as well as recrystallization during thawing. Therefore, their introduction into embryos can be highly beneficial for vitrification purposes. In this study, AFP type III was introduced into turbot embryos, by microinjection into the yolk sac and the perivitelline space at F stage (tail bud).Toxicity and distribution of protein in microinjected embryos were established before testing the protein effect on embryo cryopreservation. AFP-FITC distribution within the embryo was analyzed by confocal microscopy at 5 min and 24 h after microinjection in F stage embryos. To test the sensitivity of microinjected embryos to CPAs, embryos were subjected to a protocol for the incorporation of a vitrifying solution that was specially designed for turbot embryos. Hatching rates after CPA incorporation were determined. Results indicate that embryos at late developmental stages are more resilient to microinjection, with embryo survival rates between 60 and 82%. Confocal microscopic images demonstrated that the protein was homogeneously distributed within the microinjected embryo compartment, but did not enter any other compartment. On the other hand, microinjected embryos successfully surmounted their incubation in the CPAs. This study explores new alternatives for cryopreservation suggesting the use of natural cryoprotectants (AFPs) in the protection of intra-embryo compartments, which are usually unprotected with the conventional cryopreservation protocols for fish embryos. (c) 2006 Elsevier B.V. All rights reserved.</t>
  </si>
  <si>
    <t>Univ Algarve, Ctr Marine Sci, CCMAR, P-8005139 Faro, Portugal; Univ Leon, Dept Anim Reprod, Fac Vet, E-24071 Leon, Spain; Univ Leon, Dept Biol Celular, Fac Biol, E-24071 Leon, Spain</t>
  </si>
  <si>
    <t>Universidade do Algarve; Universidad de Leon; Universidad de Leon</t>
  </si>
  <si>
    <t>Robles, V (corresponding author), Univ Algarve, Ctr Marine Sci, CCMAR, Campus Gambelas, P-8005139 Faro, Portugal.</t>
  </si>
  <si>
    <t>dbcvrr@unileon.es</t>
  </si>
  <si>
    <t>rodriguez, vanesa robles/N-7508-2015; Anel, Luis/K-6573-2017; Herraez, Paz/C-6264-2013; Cabrita, Elsa/E-8523-2012</t>
  </si>
  <si>
    <t>rodriguez, vanesa robles/0000-0002-7917-7700; Herraez, Paz/0000-0002-0028-3616; Cabrita, Elsa/0000-0003-3864-8841; Luis, Anel/0000-0003-2423-4031</t>
  </si>
  <si>
    <t>0044-8486</t>
  </si>
  <si>
    <t>1873-5622</t>
  </si>
  <si>
    <t>Aquaculture</t>
  </si>
  <si>
    <t>DEC 11</t>
  </si>
  <si>
    <t>10.1016/j.aquaculture.2006.07.047</t>
  </si>
  <si>
    <t>Fisheries; Marine &amp; Freshwater Biology</t>
  </si>
  <si>
    <t>123IK</t>
  </si>
  <si>
    <t>WOS:000243289400023</t>
  </si>
  <si>
    <t>Mohan, R; Shanvas, S; Thamban, M; Sudhakar, M</t>
  </si>
  <si>
    <t>Mohan, Rahul; Shanvas, S.; Thamban, M.; Sudhakar, M.</t>
  </si>
  <si>
    <t>Spatial distribution of diatoms in surface sediments from the Indian sector of Southern Ocean</t>
  </si>
  <si>
    <t>CURRENT SCIENCE</t>
  </si>
  <si>
    <t>diatoms; nutrient; sediment; sea surface temperature; Southern Ocean</t>
  </si>
  <si>
    <t>ATLANTIC SECTOR; ANTARCTIC DIATOMS; PHYTOPLANKTON; TEMPERATURE; DISSOLUTION; NUTRIENT; MAXIMUM; GROWTH</t>
  </si>
  <si>
    <t>A multidisciplinary scientific expedition to the Southern Ocean (Pilot Expedition to the Southern Ocean PESO) onboard ORV Sagar Kanya during the austral summer of 2004 collected various physical, chemical, biological and geological data/samples. From the sediment cores collected during the expedition, six representative core-top samples were studied along a latitudinal transect from 28 degrees to 56 degrees south to ascertain the modern variation in distribution of siliceous microfossils called diatoms. This is the first Indian attempt to understand the latitudinal variation in the distribution of diatom species in Southern Ocean, its relationship with the changing nutrient availability and/or supply, and its utility in palaeoceanographic reconstruction. In all, 24 diatom species were identified. The diatom population seems to be dominated by seven species namely Fragilariopsis kerguelensis, Fragilariopsis separanda, Thalassionenia nitzschioides, Thalassiothrix spp., Thalassiosira lentiginosa, Eucampia antarctica and Azpeitia tabularis. Of these, F. kerguelensis and T. lentiginosa dominate the diatom community in the Southern Ocean sediments. The spatial distribution of most of the diatoms in surface sediments seems to be controlled by physicochemical parameters like sea surface temperature, salinity, silicate, nitrate and phosphate concentrations.</t>
  </si>
  <si>
    <t>Mohan, R (corresponding author), Natl Ctr Antarctic &amp; Ocean Res, Headland Sada 403804, Goa, India.</t>
  </si>
  <si>
    <t>rahulmohan@ncaor.org</t>
  </si>
  <si>
    <t>Thamban, Meloth/0000-0003-3379-8189</t>
  </si>
  <si>
    <t>INDIAN ACAD SCIENCES</t>
  </si>
  <si>
    <t>BANGALORE</t>
  </si>
  <si>
    <t>C V RAMAN AVENUE, SADASHIVANAGAR, P B #8005, BANGALORE 560 080, INDIA</t>
  </si>
  <si>
    <t>0011-3891</t>
  </si>
  <si>
    <t>CURR SCI INDIA</t>
  </si>
  <si>
    <t>Curr. Sci.</t>
  </si>
  <si>
    <t>DEC 10</t>
  </si>
  <si>
    <t>121PO</t>
  </si>
  <si>
    <t>WOS:000243169700023</t>
  </si>
  <si>
    <t>Parkinson, CL; Vinnikov, KY; Cavalieri, DJ</t>
  </si>
  <si>
    <t>Parkinson, Claire L.; Vinnikov, Konstantin Y.; Cavalieri, Donald J.</t>
  </si>
  <si>
    <t>Evaluation of the simulation of the annual cycle of Arctic and Antarctic sea ice coverages by 11 major global climate models (vol 111, art no C07012, 2006)</t>
  </si>
  <si>
    <t>Correction</t>
  </si>
  <si>
    <t>Vinnikov, Konstantin Y/F-9348-2010; Parkinson, Claire/JAC-7676-2023; Parkinson, Claire L/E-1747-2012; Vinnikov, Konstantin/IAN-6246-2023</t>
  </si>
  <si>
    <t>Parkinson, Claire/0000-0001-6730-4197; Parkinson, Claire L/0000-0001-6730-4197;</t>
  </si>
  <si>
    <t>DEC 9</t>
  </si>
  <si>
    <t>C12009</t>
  </si>
  <si>
    <t>10.1029/2006JC003949</t>
  </si>
  <si>
    <t>115SY</t>
  </si>
  <si>
    <t>WOS:000242755300002</t>
  </si>
  <si>
    <t>Smellie, JL; McArthur, JM; McIntosh, WC; Esser, R</t>
  </si>
  <si>
    <t>Smellie, J. L.; McArthur, J. M.; McIntosh, W. C.; Esser, R.</t>
  </si>
  <si>
    <t>Late neogene interglacial events in the James ross island region, northern antarctic peninsula, dated by Ar/Ar and Sr-isotope stratigraphy</t>
  </si>
  <si>
    <t>PALAEOGEOGRAPHY PALAEOCLIMATOLOGY PALAEOECOLOGY</t>
  </si>
  <si>
    <t>neoacne; interglacial; Sr-87/Sr-86; 40Ar/39Ar; global change; Antarctic Peninsula</t>
  </si>
  <si>
    <t>LATE MIOCENE; CRETACEOUS STRATIGRAPHY; ICE; VOLCANISM; VATNAJOKULL; ENVIRONMENT; OLIGOCENE; ERUPTION; AGE</t>
  </si>
  <si>
    <t>New outcrops of Late Neogene sedimentary deposits discovered on James Ross and Vega islands, northern Antarctic Peninsula, are fossiliferous and contain mainly fragmented pectinids amongst other as yet unstudied biota. The sedimentary deposits are interbedded with fresh volcanic units, thus providing the unusual opportunity to investigate the ages of the sedimentary rocks using two independent isotopic systems (40Ar/39Ar and Sr-87/Sr-86). The fossils record past periods of warmer conditions (interglacials) like today. However, our results demonstrate unequivocally that some of the macrofossils present in the sedimentary rocks are reworked and the host sediments are, in these cases, much younger than the ages of their included fossils would suggest. Nevertheless, the Sr ages date these records of interglacial events in the region independently of the age of the strata in which they occur. Conversely, the volcanic rocks show abundant field evidences that they are coeval with the underlying sedimentary deposits, and hence their AT ages reliably date the timing of their deposition. Our results indicate that at least three generally warmer periods are represented in the James Ross Island region: at 6.5-5.9, 5.03-4.22 and &lt; 0.88 Ma, although our data do not have the resolution for identifying Milankovitch-scale cyclicity. However, the Early Pliocene warm period is particularly well represented and the James Ross Island data may well be capturing a higher proportion of the longer-lasting interglacials that characterised that period. We also present evidence for an interglacial in the Late Pliocene (at 2.54+0.86/- 0.36 Ma). Our data suggest that both Antarctic Peninsula and the East Antarctic ice sheets responded in a similar way to long-term regional shifts in climate, but the Antarctic Peninsula is more sensitive to short-term warming, as occurs today. (c) 2006 Elsevier B.V. All rights reserved.</t>
  </si>
  <si>
    <t>British Antarctic Survey, Cambridge CB3 0ET, England; UCL, Dept Earth Sci, London WC1E 6BT, England; New Mexico Geochronol Res Ctr, Socorro, NM 87801 USA</t>
  </si>
  <si>
    <t>UK Research &amp; Innovation (UKRI); Natural Environment Research Council (NERC); NERC British Antarctic Survey; University of London; University College London</t>
  </si>
  <si>
    <t>Smellie, JL (corresponding author), British Antarctic Survey, High Cross,Madingley Rd, Cambridge CB3 0ET, England.</t>
  </si>
  <si>
    <t>JLSM@bas.ac.uk</t>
  </si>
  <si>
    <t>McArthur, John/C-2705-2008; McArthur, John/AAL-6354-2020</t>
  </si>
  <si>
    <t>McArthur, John/0000-0003-1461-7805; McArthur, John/0000-0003-1461-7805</t>
  </si>
  <si>
    <t>NERC [bas010018, bas010002] Funding Source: UKRI; Natural Environment Research Council [bas010018, bas010002] Funding Source: researchfish</t>
  </si>
  <si>
    <t>0031-0182</t>
  </si>
  <si>
    <t>1872-616X</t>
  </si>
  <si>
    <t>PALAEOGEOGR PALAEOCL</t>
  </si>
  <si>
    <t>Paleogeogr. Paleoclimatol. Paleoecol.</t>
  </si>
  <si>
    <t>DEC 8</t>
  </si>
  <si>
    <t>10.1016/j.palaeo.2006.06.003</t>
  </si>
  <si>
    <t>Geography, Physical; Geosciences, Multidisciplinary; Paleontology</t>
  </si>
  <si>
    <t>Physical Geography; Geology; Paleontology</t>
  </si>
  <si>
    <t>120OO</t>
  </si>
  <si>
    <t>WOS:000243094600002</t>
  </si>
  <si>
    <t>Hillenbrand, CD; Cortese, G</t>
  </si>
  <si>
    <t>Hillenbrand, Claus-Dieter; Cortese, Giuseppe</t>
  </si>
  <si>
    <t>Polar stratification: A critical view from the Southern Ocean</t>
  </si>
  <si>
    <t>palaeoproductivity; palaeoclimate; sea ice; Southern Ocean; stratification</t>
  </si>
  <si>
    <t>ANTARCTIC SEA-ICE; LAST GLACIAL MAXIMUM; ATLANTIC SECTOR; SURFACE TEMPERATURE; SEDIMENT REDISTRIBUTION; CONTINENTAL-MARGIN; ATMOSPHERIC CO2; NITROGEN; CARBON; EXPORT</t>
  </si>
  <si>
    <t>Oceanic stratification represents an effective mechanism to reduce vertical mixing of the water column, thereby locking up carbon dioxide (CO2) in the deep sea and preventing air-sea exchange of CO2. It has been proposed that enhanced stratification of the upper water column in polar oceans during late Cenozoic cooling episodes limited the upwelling of CO2-rich deep waters and thus CO2-release, to the atmosphere, resulting in a net global drawdown of atmospheric CO2. Increased stratification in the Subarctic Northwest Pacific, during both the onset of Northern Hemisphere glaciation at 2.73 Ma and late Quaternary glacial periods, has been recently linked to enhanced ocean stratification south of the Antarctic Polar Front (APF) in the Pacific and Atlantic sectors of the Southern Ocean. Increased stratification of Southern Ocean surface waters was mainly deduced from a reduction of biological production during these cooling episodes, manifested by the decrease of geochemical proxies for productivity, such as biogenic opal and barium, in the marine sediment records. However, the records chosen from the Southern Ocean do not provide evidence for a more stratified upper water column, rather the observed decrease in biological productivity is likely to have resulted from an expansion of annual sea-ice coverage. The sediment records suggest that south of the APF in the Pacific and Atlantic sectors of the Southern Ocean, extensive sea ice may have contributed to the global CO2-drawdown during glacial periods, with hypothetical glacial increase of stratification in today's permanent open-ocean zone merely being an add on caused by this expansion. (c) 2006 Elsevier B.V. All rights reserved.</t>
  </si>
  <si>
    <t>British Antarctic Survey, Cambridge CB3 0ET, England; Alfred Wegener Inst Polar &amp; Marine Res, D-27568 Bremerhaven, Germany</t>
  </si>
  <si>
    <t>UK Research &amp; Innovation (UKRI); Natural Environment Research Council (NERC); NERC British Antarctic Survey; Helmholtz Association; Alfred Wegener Institute, Helmholtz Centre for Polar &amp; Marine Research</t>
  </si>
  <si>
    <t>Hillenbrand, CD (corresponding author), British Antarctic Survey, High Cross,Madingley Rd, Cambridge CB3 0ET, England.</t>
  </si>
  <si>
    <t>hilc@bas.ac.uk</t>
  </si>
  <si>
    <t>Cortese, Giuseppe/C-8281-2011</t>
  </si>
  <si>
    <t>Cortese, Giuseppe/0000-0003-1780-3371</t>
  </si>
  <si>
    <t>10.1016/j.palaeo.2006.06.001</t>
  </si>
  <si>
    <t>WOS:000243094600006</t>
  </si>
  <si>
    <t>Geer, AJ; Lahoz, WA; Bekki, S; Bormann, N; Errera, Q; Eskes, HJ; Fonteyn, D; Jackson, DR; Juckes, MN; Massart, S; Peuch, VH; Rharmili, S; Segers, A</t>
  </si>
  <si>
    <t>Geer, A. J.; Lahoz, W. A.; Bekki, S.; Bormann, N.; Errera, Q.; Eskes, H. J.; Fonteyn, D.; Jackson, D. R.; Juckes, M. N.; Massart, S.; Peuch, V. -H.; Rharmili, S.; Segers, A.</t>
  </si>
  <si>
    <t>The ASSET intercomparison of ozone analyses: method and first results</t>
  </si>
  <si>
    <t>GENERAL-CIRCULATION MODEL; 4-DIMENSIONAL VARIATIONAL ASSIMILATION; STRATOSPHERIC OZONE; 3-DIMENSIONAL MODEL; SEQUENTIAL ASSIMILATION; SATELLITE-OBSERVATIONS; 3-D MODELS; CHEMISTRY; TRANSPORT; PROFILES</t>
  </si>
  <si>
    <t>This paper aims to summarise the current performance of ozone data assimilation (DA) systems, to show where they can be improved, and to quantify their errors. It examines 11 sets of ozone analyses from 7 different DA systems. Two are numerical weather prediction (NWP) systems based on general circulation models (GCMs); the other five use chemistry transport models (CTMs). The systems examined contain either linearised or detailed ozone chemistry, or no chemistry at all. In most analyses, MIPAS (Michelson Interferometer for Passive Atmospheric Sounding) ozone data are assimilated; two assimilate SCIAMACHY (Scanning Imaging Absorption Spectrometer for Atmospheric Chartography) observations instead. Analyses are compared to independent ozone observations covering the troposphere, stratosphere and lower mesosphere during the period July to November 2003. Biases and standard deviations are largest, and show the largest divergence between systems, in the troposphere, in the upper-troposphere/lower-stratosphere, in the upper-stratosphere and mesosphere, and the Antarctic ozone hole region. However, in any particular area, apart from the troposphere, at least one system can be found that agrees well with independent data. In general, none of the differences can be linked to the assimilation technique (Kalman filter, three or four dimensional variational methods, direct inversion) or the system (CTM or NWP system). Where results diverge, a main explanation is the way ozone is modelled. It is important to correctly model transport at the tropical tropopause, to avoid positive biases and excessive structure in the ozone field. In the southern hemisphere ozone hole, only the analyses which correctly model heterogeneous ozone depletion are able to reproduce the near-complete ozone destruction over the pole. In the upper-stratosphere and mesosphere (above 5 hPa), some ozone photochemistry schemes caused large but easily remedied biases. The diurnal cycle of ozone in the mesosphere is not captured, except by the one system that includes a detailed treatment of mesospheric chemistry. These results indicate that when good observations are available for assimilation, the first priority for improving ozone DA systems is to improve the models. The analyses benefit strongly from the good quality of the MIPAS ozone observations. Using the analyses as a transfer standard, it is seen that MIPAS is similar to 5% higher than HALOE (Halogen Occultation Experiment) in the mid and upper stratosphere and mesosphere (above 30 hPa), and of order 10% higher than ozonesonde and HALOE in the lower stratosphere (100 hPa to 30 hPa). Analyses based on SCIAMACHY total column are almost as good as the MIPAS analyses; analyses based on SCIAMACHY limb profiles are worse in some areas, due to problems in the SCIAMACHY retrievals.</t>
  </si>
  <si>
    <t>Univ Reading, Data Assimilat Res Ctr, Reading, Berks, England; Univ Paris 06, CNRS, Serv Aeron, Paris, France; Inst Aeron Spatiale Belgique, B-1180 Brussels, Belgium; Royal Netherlands Meteorol Inst, NL-3730 AE De Bilt, Netherlands; Met Off, Exeter, Devon, England; Rutherford Appleton Lab, British Atmospher Data Ctr, Didcot OX11 0QX, Oxon, England; CERFACS, F-31057 Toulouse, France; Meteo France, CNRM, GAME, Toulouse, France; CNRS, URA 1357, Toulouse, France</t>
  </si>
  <si>
    <t>University of Reading; Centre National de la Recherche Scientifique (CNRS); Sorbonne Universite; Royal Netherlands Meteorological Institute; Met Office - UK; UK Research &amp; Innovation (UKRI); Science &amp; Technology Facilities Council (STFC); STFC Rutherford Appleton Laboratory; CERFACS; Meteo France; Centre National de la Recherche Scientifique (CNRS)</t>
  </si>
  <si>
    <t>Geer, AJ (corresponding author), European Ctr Medium Range Weather Forecasts, Shinfield Pk, Reading RG2 9AX, Berks, England.</t>
  </si>
  <si>
    <t>alan.geer@ecmwf.int</t>
  </si>
  <si>
    <t>bekki, slimane/J-7221-2015; Peuch, Vincent-Henri/A-7308-2008</t>
  </si>
  <si>
    <t>bekki, slimane/0000-0002-5538-0800; Bormann, Niels/0000-0001-5302-6093; Jackson, David/0000-0001-6387-6876; Massart, Sebastien/0000-0002-7576-6188; Peuch, Vincent-Henri/0000-0003-1396-0505; Errera, Quentin/0000-0002-4818-4879; Segers, Arjo/0000-0002-1319-0195</t>
  </si>
  <si>
    <t>DEC 5</t>
  </si>
  <si>
    <t>10.5194/acp-6-5445-2006</t>
  </si>
  <si>
    <t>114DL</t>
  </si>
  <si>
    <t>WOS:000242646800003</t>
  </si>
  <si>
    <t>Gillett, NP; Kell, TD; Jones, PD</t>
  </si>
  <si>
    <t>Gillett, N. P.; Kell, T. D.; Jones, P. D.</t>
  </si>
  <si>
    <t>Regional climate impacts of the Southern Annular Mode</t>
  </si>
  <si>
    <t>ANTARCTIC OSCILLATION; EXTRATROPICAL CIRCULATION; HEMISPHERE; VARIABILITY; PRECIPITATION; VACILLATION; REANALYSES; AUSTRALIA; RAINFALL; TRENDS</t>
  </si>
  <si>
    <t>[1] Previous work on the influence of the Southern Annular Mode (SAM) on surface climate has focused mainly on individual countries. In this study we use station observations of temperature and rainfall to identify the influence of the SAM on land regions over the whole of the Southern Hemisphere. We demonstrate that the positive phase of the SAM is associated with a significant cooling over Antarctica and much of Australia, and a significant warming over the Antarctic Peninsula, Argentina, Tasmania and the south of New Zealand. The positive phase of the SAM is also associated with anomalously dry conditions over southern South America, New Zealand and Tasmania, due to the southward shift of the stormtrack; and to anomalously wet conditions over much of Australia and South Africa. These influences on populated regions of the Southern Hemisphere may have implications for weather and seasonal forecasting, and for future climate change.</t>
  </si>
  <si>
    <t>Univ E Anglia, Climat Res Unit, Sch Environm Sci, Norwich NR4 7TJ, Norfolk, England</t>
  </si>
  <si>
    <t>University of East Anglia</t>
  </si>
  <si>
    <t>Gillett, NP (corresponding author), Univ E Anglia, Climat Res Unit, Sch Environm Sci, Norwich NR4 7TJ, Norfolk, England.</t>
  </si>
  <si>
    <t>n.gillett@uea.ac.uk</t>
  </si>
  <si>
    <t>Jones, Philip Douglas/C-8718-2009</t>
  </si>
  <si>
    <t>Jones, Philip Douglas/0000-0001-5032-5493</t>
  </si>
  <si>
    <t>L23704</t>
  </si>
  <si>
    <t>10.1029/2006GL027721</t>
  </si>
  <si>
    <t>115RP</t>
  </si>
  <si>
    <t>WOS:000242751800006</t>
  </si>
  <si>
    <t>Dore, J</t>
  </si>
  <si>
    <t>Dore, Jonathan</t>
  </si>
  <si>
    <t>Scott of the Antarctic - A life of courage and tragedy.</t>
  </si>
  <si>
    <t>NEW YORK TIMES BOOK REVIEW</t>
  </si>
  <si>
    <t>NEW YORK TIMES</t>
  </si>
  <si>
    <t>229 W 43RD ST, NEW YORK, NY 10036-3959 USA</t>
  </si>
  <si>
    <t>0028-7806</t>
  </si>
  <si>
    <t>NY TIMES BK REV</t>
  </si>
  <si>
    <t>N. Y. Times Book Rev.</t>
  </si>
  <si>
    <t>DEC 3</t>
  </si>
  <si>
    <t>Humanities, Multidisciplinary</t>
  </si>
  <si>
    <t>Arts &amp; Humanities - Other Topics</t>
  </si>
  <si>
    <t>109YM</t>
  </si>
  <si>
    <t>WOS:000242345500065</t>
  </si>
  <si>
    <t>Lachlan-Cope, T; Connolley, W</t>
  </si>
  <si>
    <t>Lachlan-Cope, Tom; Connolley, William</t>
  </si>
  <si>
    <t>Teleconnections between the tropical pacific and the amundsen-bellinghausens sea: Role of the El Nino Southern Oscillation</t>
  </si>
  <si>
    <t>SURFACE TEMPERATURE; VARIABILITY; CIRCULATION; HEMISPHERE; CONVECTION; CLIMATE; TRENDS</t>
  </si>
  <si>
    <t>Tropical Pacific-high southern latitude teleconnections are shown to be caused by Rossby wave dynamics and are sensitive to the exact pattern of sea surface temperature (SST) anomalies forcing anomalous ascent. Further, the signal becomes obscured by local natural variability at higher southern latitudes. Here it is shown that a Rossby wave with a source in the tropical Pacific can explain the general pattern of teleconnection found during the southern winter. Upper level divergence associated with deep convection in the tropical Pacific plays a major role in the generation of these Rossby waves. SST anomalies associated with El Nino/Southern Oscillation force the tropical deep convection. However, the relationship between deep convection and SST anomalies is complex and modeling experiments show that in areas of large-scale subsidence positive SST anomalies would have to be larger than any observed anomalies (&gt; 4 degrees C) before they have any effect on the vertical motion. Large variations are observed between the high-latitude response to El Nino with apparently similar tropical forcings. This makes accurate prediction of the high-latitude response to tropical change difficult. Ensemble GCM runs show that variations due to the natural variation of the zonal flow in the Southern Hemisphere can swamp the signal resulting from changes in the Rossby wave source region.</t>
  </si>
  <si>
    <t>Lachlan-Cope, T (corresponding author), British Antarctic Survey, High Cross,Madingley Rd, Cambridge CB3 0ET, England.</t>
  </si>
  <si>
    <t>t.lachlan-cope@bas.ac.uk</t>
  </si>
  <si>
    <t>NERC [bas010014] Funding Source: UKRI; Natural Environment Research Council [bas010014] Funding Source: researchfish</t>
  </si>
  <si>
    <t>DEC 2</t>
  </si>
  <si>
    <t>D23101</t>
  </si>
  <si>
    <t>10.1029/2005JD006386</t>
  </si>
  <si>
    <t>115NV</t>
  </si>
  <si>
    <t>WOS:000242741900001</t>
  </si>
  <si>
    <t>Nihashi, S; Cavalieri, DJ</t>
  </si>
  <si>
    <t>Nihashi, Sohey; Cavalieri, Donald J.</t>
  </si>
  <si>
    <t>Observational evidence of a hemispheric-wide ice-ocean albedo feedback effect on Antarctic sea-ice decay</t>
  </si>
  <si>
    <t>WEDDELL SEA; PHYTOPLANKTON BIOMASS; MIXED-LAYER; VARIABILITY; ATMOSPHERE; MOTION; MODEL; WIND; REDUCTION; REGION</t>
  </si>
  <si>
    <t>[ 1] The effect of ice - ocean albedo feedback ( a kind of ice-albedo feedback) on sea-ice decay is demonstrated over the Antarctic sea-ice zone from an analysis of satellite-derived hemispheric sea ice concentration and European Centre for Medium-Range Weather Forecasts (ERA-40) atmospheric data for the period 1979 - 2001. Sea ice concentration in December ( time of most active melt) correlates better with the meridional component of the wind-forced ice drift ( MID) in November ( beginning of the melt season) than the MID in December. This 1 month lagged correlation is observed in most of the Antarctic sea-ice covered ocean. Daily time series of ice concentration show that the ice concentration anomaly increases toward the time of maximum sea-ice melt. These findings can be explained by the following positive feedback effect: once ice concentration decreases ( increases) at the beginning of the melt season, solar heating of the upper ocean through the increased ( decreased) open water fraction is enhanced ( reduced), leading to ( suppressing) a further decrease in ice concentration by the oceanic heat. Results obtained from a simple ice - ocean coupled model also support our interpretation of the observational results. This positive feedback mechanism explains in part the large interannual variability of the sea-ice cover in summer.</t>
  </si>
  <si>
    <t>Hokkaido Univ, Inst Low Temp Sci, Sapporo, Hokkaido 0600819, Japan; NASA, Goddard Space Flight Ctr, Hydrospher &amp; Biospher Sci Lab, Greenbelt, MD 20771 USA</t>
  </si>
  <si>
    <t>Hokkaido University; National Aeronautics &amp; Space Administration (NASA); NASA Goddard Space Flight Center</t>
  </si>
  <si>
    <t>Nihashi, S (corresponding author), Hokkaido Univ, Inst Low Temp Sci, Sapporo, Hokkaido 0600819, Japan.</t>
  </si>
  <si>
    <t>sohey@lowtem.hokudai.ac.jp</t>
  </si>
  <si>
    <t>C12001</t>
  </si>
  <si>
    <t>10.1029/2005JC003447</t>
  </si>
  <si>
    <t>115OS</t>
  </si>
  <si>
    <t>WOS:000242744200002</t>
  </si>
  <si>
    <t>Stepanov, VN; Hughes, CW</t>
  </si>
  <si>
    <t>Stepanov, Vladimir N.; Hughes, Chris W.</t>
  </si>
  <si>
    <t>Propagation of signals in basin-scale ocean bottom pressure from a barotropic model</t>
  </si>
  <si>
    <t>GENERAL-CIRCULATION MODEL; SEA-LEVEL VARIATIONS; SOUTHERN-OCEAN; DRAKE PASSAGE; BAROMETRIC-PRESSURE; MOMENTUM BALANCE; GLOBAL OCEAN; PACIFIC; WAVES; FLUCTUATIONS</t>
  </si>
  <si>
    <t>[1] The exchange of atmospheric plus oceanic mass between ocean basins is investigated using a global barotropic ocean model. We find two particular cases of exchange between two basins. At periods of 4 - 6 days, the exchange is between the Atlantic and Pacific basins, and represents a known oscillation forced by atmospheric pressure. This mode represents a failure of the inverse-barometer relationship due to the large scale and high frequency of atmospheric forcing, and the presence of continents. Significant exchange between Atlantic and Pacific also occurs at longer periods. The second case is most prominent at periods longer than 30 days ( strongest at periods longer than 100 days), and represents a mass exchange between the Southern Ocean and the Pacific. The Southern Ocean part of this exchange is clearly related to the Southern Mode of fluctuations in Antarctic circumpolar transport, forced by Southern Ocean wind stress. The reason for the exchange being with the Pacific rather than other basins is explored, and is found to be related to the balance of wind stress by form stress in Drake Passage: exchange with the Atlantic and Indian oceans becomes dominant if Drake Passage topography is removed. While recognizing the limitations of a barotropic model, we contend that it is necessary to understand the barotropic adjustment process in order to make sense of longer timescale processes. Accordingly, we end with speculation on the possible importance of the barotropic results for global sea level and tropical dynamics.</t>
  </si>
  <si>
    <t>Proudman Oceanog Lab, Liverpool L3 5DA, Merseyside, England</t>
  </si>
  <si>
    <t>Stepanov, VN (corresponding author), Proudman Oceanog Lab, Joseph Proudman Bldg,6 Brownlow St, Liverpool L3 5DA, Merseyside, England.</t>
  </si>
  <si>
    <t>vst@pol.ac.uk; cwh@pol.ac.uk</t>
  </si>
  <si>
    <t>Stepanov, Vladimir/P-8371-2019; Hughes, Chris/GQP-7479-2022; Hughes, Chris W/A-3791-2010</t>
  </si>
  <si>
    <t>Stepanov, Vladimir/0000-0002-0560-9312; Hughes, Chris W/0000-0002-9355-0233</t>
  </si>
  <si>
    <t>Natural Environment Research Council [NE/B503484/1] Funding Source: researchfish</t>
  </si>
  <si>
    <t>C12002</t>
  </si>
  <si>
    <t>10.1029/2005JC003450</t>
  </si>
  <si>
    <t>WOS:000242744200003</t>
  </si>
  <si>
    <t>Williams, JK</t>
  </si>
  <si>
    <t>Williams, Joann K.</t>
  </si>
  <si>
    <t>ACADEMY OF MANAGEMENT LEARNING &amp; EDUCATION</t>
  </si>
  <si>
    <t>Jacksonville State Univ, Jacksonville, AL 36265 USA</t>
  </si>
  <si>
    <t>Jacksonville State University</t>
  </si>
  <si>
    <t>Williams, JK (corresponding author), Jacksonville State Univ, Jacksonville, AL 36265 USA.</t>
  </si>
  <si>
    <t>ACAD MANAGEMENT</t>
  </si>
  <si>
    <t>BRIARCLIFF MANOR</t>
  </si>
  <si>
    <t>PACE UNIV, PO BOX 3020, 235 ELM RD, BRIARCLIFF MANOR, NY 10510-8020 USA</t>
  </si>
  <si>
    <t>1537-260X</t>
  </si>
  <si>
    <t>ACAD MANAG LEARN EDU</t>
  </si>
  <si>
    <t>Acad. Manag. Learn. Educ.</t>
  </si>
  <si>
    <t>DEC</t>
  </si>
  <si>
    <t>Education &amp; Educational Research; Management</t>
  </si>
  <si>
    <t>Education &amp; Educational Research; Business &amp; Economics</t>
  </si>
  <si>
    <t>125NE</t>
  </si>
  <si>
    <t>WOS:000243447900017</t>
  </si>
  <si>
    <t>The endurance: Shackleton's legendary Antarctic expedition</t>
  </si>
  <si>
    <t>Jacksonville State Univ, Jacksonville, AL USA</t>
  </si>
  <si>
    <t>Williams, JK (corresponding author), Jacksonville State Univ, Jacksonville, AL USA.</t>
  </si>
  <si>
    <t>WOS:000243447900019</t>
  </si>
  <si>
    <t>Noonan, BP; Chippindale, PT</t>
  </si>
  <si>
    <t>Noonan, Brice P.; Chippindale, Paul T.</t>
  </si>
  <si>
    <t>Vicariant origin of Malagasy reptiles supports late cretaceous antarctic land bridge</t>
  </si>
  <si>
    <t>AMERICAN NATURALIST</t>
  </si>
  <si>
    <t>Gondwana; vicariance; Boidae; Podocnemidae; Iguanidae; Madagascar</t>
  </si>
  <si>
    <t>MOLECULAR PHYLOGENY; CALIBRATION POINTS; MORPHOLOGICAL DATA; DIVERGENCE TIMES; GENOME SEQUENCES; SINGLE ORIGIN; BIOGEOGRAPHY; EVOLUTION; DISPERSAL; MADAGASCAR</t>
  </si>
  <si>
    <t>Since the acceptance of Wegener's theory of plate tectonics in the 1960s, continental drift vicariance has been proposed as an explanation for pan-Gondwanan faunal distributions. Given the recognition of historical connections among continents, it no longer was necessary to invoke hypotheses of dispersal across nearly insurmountable barriers. The application of continental drift vicariance theory to Gondwanan floral and faunal distributions provided reasonable explanations for such unusual distributions as that of the southern beech (Nothofagus) and chameleons. However, recent studies have demonstrated a significant, if not dominant, role for dispersal in the present-day distributions of these and numerous other Gondwanan taxa. The evolutionary histories of three Malagasy groups (boid snakes, podocnemid turtles, and iguanid lizards) commonly have been interpreted as reflecting vicariance because of continental drift associated with the breakup of Gondwana. Bayesian analyses of divergence ages suggest that this pattern is the result of vicariance coincident with the isolation of Madagascar in the Late Cretaceous (similar to 80 million years ago). This represents the first temporal evidence linking the vicariant origin of extant Malagasy vertebrates to a single geologic event. Specifically, our data provide strong, independently corroborated evidence for a contiguous Late Cretaceous Gondwana, exclusive of Africa and connected via Antarctica.</t>
  </si>
  <si>
    <t>Brigham Young Univ, Dept Integrat Biol, Provo, UT 84602 USA; Univ Texas, Dept Biol, Arlington, TX 76019 USA</t>
  </si>
  <si>
    <t>Brigham Young University; University of Texas System; University of Texas Arlington</t>
  </si>
  <si>
    <t>Noonan, BP (corresponding author), Brigham Young Univ, Dept Integrat Biol, Provo, UT 84602 USA.</t>
  </si>
  <si>
    <t>brice.noonan@byu.edu; paulc@uta.edu</t>
  </si>
  <si>
    <t>UNIV CHICAGO PRESS</t>
  </si>
  <si>
    <t>CHICAGO</t>
  </si>
  <si>
    <t>1427 E 60TH ST, CHICAGO, IL 60637-2954 USA</t>
  </si>
  <si>
    <t>0003-0147</t>
  </si>
  <si>
    <t>1537-5323</t>
  </si>
  <si>
    <t>AM NAT</t>
  </si>
  <si>
    <t>Am. Nat.</t>
  </si>
  <si>
    <t>10.1086/509052</t>
  </si>
  <si>
    <t>Ecology; Evolutionary Biology</t>
  </si>
  <si>
    <t>Environmental Sciences &amp; Ecology; Evolutionary Biology</t>
  </si>
  <si>
    <t>106UJ</t>
  </si>
  <si>
    <t>WOS:000242126900002</t>
  </si>
  <si>
    <t>Howard-Williams, C; Peterson, D</t>
  </si>
  <si>
    <t>Howard-Williams, Clive; Peterson, Dean</t>
  </si>
  <si>
    <t>Climate change and integrated continent-wide ecosystem studies</t>
  </si>
  <si>
    <t>ANTARCTIC SCIENCE</t>
  </si>
  <si>
    <t>Howard-Williams, Clive/0000-0002-8323-6806</t>
  </si>
  <si>
    <t>0954-1020</t>
  </si>
  <si>
    <t>ANTARCT SCI</t>
  </si>
  <si>
    <t>Antarct. Sci.</t>
  </si>
  <si>
    <t>10.1017/S0954102006000496</t>
  </si>
  <si>
    <t>114AK</t>
  </si>
  <si>
    <t>WOS:000242638900001</t>
  </si>
  <si>
    <t>Howard-Williams, C; Peterson, D; Lyons, WB; Cattaneo-Vietti, R; Gordon, S</t>
  </si>
  <si>
    <t>Howard-Williams, C.; Peterson, D.; Lyons, W. B.; Cattaneo-Vietti, R.; Gordon, S.</t>
  </si>
  <si>
    <t>Measuring ecosystem response in a rapidly changing environment: the Latitudinal Gradient Project</t>
  </si>
  <si>
    <t>Antarctica; climate change; ecosystems; environmental gradients; Victoria Land</t>
  </si>
  <si>
    <t>MCMURDO DRY VALLEYS; SOUTHERN VICTORIA LAND; ROSS SEA; CLIMATE-CHANGE; CAPE HALLETT; TAYLOR VALLEY; ANTARCTICA; NORTHERN; COAST; STRATIFICATION</t>
  </si>
  <si>
    <t>In the face of climate variability and change, science in Antarctica needs to address increasingly complex questions. Individual small studies are being replaced by multinational and multidisciplinary research programmes. The Latitudinal Gradient Project (LGP) is one such approach that combines a series of smaller studies under a single broad hypothesis to provide information that uses a gradient in latitude as a surrogate for environmental gradients, particularly climate. In this way latitudinal differences can be used to indicate climate change differences. The Key Questions for the LGP were developed via national workshops in Italy, New Zealand, and the USA and via two international workshops at SCAR conferences. Science and logistics are currently jointly shared by New Zealand, Italy and the USA, and cover marine and inland ecosystem studies along the Victoria Land coast from 72 degrees to 78 degrees S with plans for extensions to 85 degrees S. The LGP forms part of the SCAR Programme Evolution and Biodiversity in Antarctica. This Special Issue summarizes some of the work in the first three years of the LGP (2002-2005), between McMurdo Sound and Cape Hallett, to form a basis for future comparative studies as the research shifts along the latitudinal span in the next decade.</t>
  </si>
  <si>
    <t>Natl Inst Water &amp; Atmospher Res Ltd, Christchurch 8001, New Zealand; Antarctica New Zealand, Christchurch 8140, New Zealand; Ohio State Univ, Byrd Polar Res Ctr, Columbus, OH 43210 USA; Univ Genoa, Dipteris, Dipartimento Studio Terr &amp; Risorse, I-16129 Genoa, Italy</t>
  </si>
  <si>
    <t>National Institute of Water &amp; Atmospheric Research (NIWA) - New Zealand; University System of Ohio; Ohio State University; University of Genoa</t>
  </si>
  <si>
    <t>Howard-Williams, C (corresponding author), Natl Inst Water &amp; Atmospher Res Ltd, Box 8602, Christchurch 8001, New Zealand.</t>
  </si>
  <si>
    <t>c.howard-williams@niwa.co.nz</t>
  </si>
  <si>
    <t>1365-2079</t>
  </si>
  <si>
    <t>10.1017/S0954102006000514</t>
  </si>
  <si>
    <t>WOS:000242638900002</t>
  </si>
  <si>
    <t>Hofstee, EH; Balks, MR; Petchey, F; Campbell, DI</t>
  </si>
  <si>
    <t>Hofstee, Erica H.; Balks, Megan R.; Petchey, Fiona; Campbell, David I.</t>
  </si>
  <si>
    <t>Soils of Seabee Hook, Cape Hallett, northern Victoria Land, Antarctica</t>
  </si>
  <si>
    <t>Antarctic soil; carbon dating; guano; Latitudinal Gradient Project; ornithogenic; XRF</t>
  </si>
  <si>
    <t>ADELIE PENGUIN ROOKERIES; KING-GEORGE ISLAND; ORNITHOGENIC SOILS; BIOMASS; DECOMPOSITION; GUANO; COAST</t>
  </si>
  <si>
    <t>The soils of the Seabee Hook area of Cape Hallett in northern Victoria Land, Antarctica, were mapped and characterized. Seabee Hook is a low-lying gravel spit of beach deposits built up by coastal currents carrying basalt material from nearby cliffs. Seabee Hook is the location of an Adelie penguin (Pygoscelis adeliae) colony which influences the soils with additions of guano, dead birds, eggshells and feathers. A soil-landscape model was developed and a soil association was identified between the soils formed on mounds (relict beach ridges) favoured by penguins for nests (Typic Haplorthel) and the soils in the areas between the mounds (Typic Haplorthel/Typic Aquorthel). Soils fori-ned on the mounds inhabited by penguins contained guano in the upper 50 cm, overlying sub-rounded beach-deposited gravel and sand. Soils between mounds had a thin veneer (&lt; 5 cm) of guano overlying basaltic gravelly sand similar to that in the lower parts of the mound soils. The soils had high concentrations of nitrogen, organic carbon, phosphorus, cadmium, zinc, copper, and increased electrical conductivity, within horizons influenced by penguin guano. Five buried penguin bones were collected from the base of soil profiles and radiocarbon dated. The dates indicate that Seabee Hook has been colonized by penguins for at least 1000 years.</t>
  </si>
  <si>
    <t>Univ Waikato, Dept Earth &amp; Ocean Sci, Hamilton, New Zealand; Univ Waikato, Dept Earth &amp; Ocean Sci, Waikato Radiocarbon Dating Lab, Hamilton, New Zealand</t>
  </si>
  <si>
    <t>University of Waikato; University of Waikato</t>
  </si>
  <si>
    <t>Balks, MR (corresponding author), Univ Waikato, Dept Earth &amp; Ocean Sci, Private Bag 3105, Hamilton, New Zealand.</t>
  </si>
  <si>
    <t>m.balks@waikato.ac.nz</t>
  </si>
  <si>
    <t>Campbell, Dave I/F-2786-2011; Petchey, Fiona/O-9963-2017</t>
  </si>
  <si>
    <t>Petchey, Fiona/0000-0002-3308-9983</t>
  </si>
  <si>
    <t>10.1017/S0954102006000526</t>
  </si>
  <si>
    <t>WOS:000242638900003</t>
  </si>
  <si>
    <t>Hofstee, EH; Campbell, DI; Balks, MR; Aislabie, J</t>
  </si>
  <si>
    <t>Hofstee, Erica H.; Campbell, Dave I.; Balks, Megan R.; Aislabie, Jackie</t>
  </si>
  <si>
    <t>Groundwater characteristics at Seabee Hook, Cape Hallett, Antarctica</t>
  </si>
  <si>
    <t>groundwater chemistry; ice cement; Latitudinal Gradient Project; Victoria Land</t>
  </si>
  <si>
    <t>NORTHERN VICTORIA LAND; TERRESTRIAL WATERS; BROMIDE; ENVIRONMENT; NUTRIENTS; TRACER</t>
  </si>
  <si>
    <t>Seabee Hook is a low lying gravel spit adjacent to Cape Hallett, northern Victoria Land, in the Ross Sea region of Antarctica and hosts an Adelie penguin (Pygoscelis adeliae) rookery. Dipwells were inserted to monitor changes in depth to, and volume of, groundwater and tracer tests were conducted to estimate aquifer hydraulic conductivity and groundwater velocity. During summer (November-February), meltwater forms a shallow, unconfined, aquifer perched on impermeable ice cemented soil. Groundwater extent and volume depends on the amount of snowfall as meltwater is primarily sourced from melting snow drifts. Groundwater velocity through the permeable gravel and sand was up to 7.8 in day(-1), and hydraulic conductivities of 4.7 x 10(-4) m s(-1) to 3.7 x 10(-1) in s(-1) were measured. The presence of the penguin rookery, and the proximity of the sea, affects groundwater chemistry with elevated concentrations of salts (1205 mg L-1 sodium, 332 mg L-1 potassium) and nutrients (193 mg L-1 nitrate, 833 mg L-1 ammonia, 10 mg L-1 total phosphorus) compared with groundwater sourced away from the rookery, and with other terrestrial waters in Antarctica.</t>
  </si>
  <si>
    <t>Univ Waikato, Dept Earth &amp; Ocean Sci, Hamilton, New Zealand; Landcare Res, Hamilton, New Zealand</t>
  </si>
  <si>
    <t>University of Waikato; Landcare Research - New Zealand</t>
  </si>
  <si>
    <t>Campbell, DI (corresponding author), Univ Waikato, Dept Earth &amp; Ocean Sci, Private Bag 3105, Hamilton, New Zealand.</t>
  </si>
  <si>
    <t>davec@waikato.ac.nz</t>
  </si>
  <si>
    <t>Campbell, Dave I/F-2786-2011</t>
  </si>
  <si>
    <t>10.1017/S0954102006000538</t>
  </si>
  <si>
    <t>WOS:000242638900004</t>
  </si>
  <si>
    <t>Witherow, RA; Lyons, WB; Bertler, NAN; Welch, KA; Mayewski, PA; Sneed, SB; Nylen, T; Handley, MJ; Fountain, A</t>
  </si>
  <si>
    <t>Witherow, Rebecca A.; Lyons, W. Berry; Bertler, Nancy A. N.; Welch, Kathleen A.; Mayewski, Paula A.; Sneed, Sharon B.; Nylen, Thomas; Handley, Michael J.; Fountain, Andrew</t>
  </si>
  <si>
    <t>The aeolian flux of calcium, chloride and nitrate to the McMurdo Dry Valleys landscape: evidence from snow pit analysis</t>
  </si>
  <si>
    <t>elements; fluxes; glaciers; Latitudinal Gradient Project; salts in soils</t>
  </si>
  <si>
    <t>SOUTHERN VICTORIA LAND; SOIL ORGANIC-MATTER; TAYLOR VALLEY; ICE CORES; ANTARCTICA; GLACIER; ORIGIN; REGION; BIOGEOCHEMISTRY; GLACIOCHEMISTRY</t>
  </si>
  <si>
    <t>We have determined the flux of calcium, chloride and nitrate to the McMurdo Dry Valleys region by analysing snow pits for their chemical composition and their snow accumulation using multiple records spanning up to 48 years. The fluxes demonstrate patterns related to elevation and proximity to the ocean. In general, there is a strong relationship between the nitrate flux and snow accumulation, indicating that precipitation rates may have a great influence over the nitrogen concentrations in the soils of the valleys. Aeolian dust transport plays an important role in the deposition of some elements (e.g. C2+) into the McMurdo Dry Valleys' soils. Because of the antiquity of some of the soil surfaces in the McMurdo Dry Valleys regions, the accumulated atmospheric flux of salts to the soils has important ecological consequences. Although precipitation may be an important mechanism of salt deposition to the McMurdo Dry Valley surfaces, it is poorly understood because of difficulties in measurement and high losses from sublimation.</t>
  </si>
  <si>
    <t>Ohio State Univ, Byrd Polar Res Ctr, Columbus, OH 43210 USA; Ohio State Univ, Dept Geol Sci, Columbus, OH 43210 USA; Victoria Univ Wellington, Antarctic Res Ctr, Wellington, New Zealand; Univ Maine, Climate Change Inst, Orono, ME 04469 USA; Portland State Univ, Dept Geol &amp; Geog, Portland, OR 97207 USA; GNS Sci, Lower Hutt 5010, New Zealand</t>
  </si>
  <si>
    <t>University System of Ohio; Ohio State University; University System of Ohio; Ohio State University; Victoria University Wellington; University of Maine System; University of Maine Orono; Portland State University; GNS Science - New Zealand</t>
  </si>
  <si>
    <t>Lyons, WB (corresponding author), Ohio State Univ, Byrd Polar Res Ctr, Columbus, OH 43210 USA.</t>
  </si>
  <si>
    <t>lyons.142@osu.edu</t>
  </si>
  <si>
    <t>Bertler, Nancy A N/F-3967-2011</t>
  </si>
  <si>
    <t>Welch, Kathleen/0000-0003-1028-3086; Nylen, Thomas/0000-0001-9579-8702; Bertler, Nancy/0000-0001-6028-4891</t>
  </si>
  <si>
    <t>10.1017/S095410200600054X</t>
  </si>
  <si>
    <t>WOS:000242638900005</t>
  </si>
  <si>
    <t>Bertler, NAN; Naish, TR; Oerter, H; Kipfstuhl, S; Barrett, PJ; Mayewski, PA; Kreutz, K</t>
  </si>
  <si>
    <t>Bertler, N. A. N.; Naish, T. R.; Oerter, H.; Kipfstuhl, S.; Barrett, P. J.; Mayewski, P. A.; Kreutz, K.</t>
  </si>
  <si>
    <t>The effects of joint ENSO-Antarctic Oscillation forcing on the McMurdo Dry Valleys, Antarctica</t>
  </si>
  <si>
    <t>Amundsen Sea Low; climate drivers; Latitudinal Gradient Project; snow analysis; Southern Oscillation Index; water isotopes</t>
  </si>
  <si>
    <t>SOUTH-PACIFIC; SEA-ICE; CLIMATE; SIGNAL; OCEAN; PRECIPITATION; TEMPERATURE; VARIABILITY; CIRCULATION; EVOLUTION</t>
  </si>
  <si>
    <t>Stable oxygen analyses and snow accumulation rates from snow pits sampled in the McMurdo Dry Valleys have been used to reconstruct variations in summer temperature and moisture availability over the last four decades. The temperature data show a common interannual variability, with strong regional warmings occurring especially in 1984/85, 1995/96 and 1990/91 and profound coolings during 1977/78, 1983/84, 1988/89, 1993/94, and 1996/97. Annual snow accumulation shows a larger variance between sites, but the early 1970s, 1984, 1997, and to a lesser degree 1990/91 are characterized overall by wetter conditions, while the early and late 1980s show low snow accumulation values. Comparison of the reconstructed and measured summer temperatures with the Southern Oscillation Index (SOI) and the Antarctic Oscillation (AAO) yield statistically significant correlations, which improve when phaserelationships are considered. A distinct change in the phase relationship of the correlation is observed, with the SOI-AAO leading over the temperature records by one year before, and lagging by one year after 1988. These results suggest that over the last two decades summer temperatures are influenced by opposing El Niho Southern Oscillation and AAO forcings and support previous studies that identified a change in the Tropical-Antarctic teleconnection between the 1980s and 1990s.</t>
  </si>
  <si>
    <t>Univ Victoria, Antarctic Res Ctr, Wellington, New Zealand; GNS Sci, Lower Hutt 5010, New Zealand; Alfred Wegener Inst Polar &amp; Marine Res, D-27515 Bremerhaven, Germany; Univ Maine, Climate Change Inst, Orono, ME 04469 USA</t>
  </si>
  <si>
    <t>Victoria University Wellington; GNS Science - New Zealand; Helmholtz Association; Alfred Wegener Institute, Helmholtz Centre for Polar &amp; Marine Research; University of Maine System; University of Maine Orono</t>
  </si>
  <si>
    <t>Bertler, NAN (corresponding author), Univ Victoria, Antarctic Res Ctr, POB 600, Wellington, New Zealand.</t>
  </si>
  <si>
    <t>nancy.bertler@vuwac.nz</t>
  </si>
  <si>
    <t>Bertler, Nancy/0000-0001-6028-4891; Naish, Tim/0000-0002-1185-9932</t>
  </si>
  <si>
    <t>10.1017/S0954102006000551</t>
  </si>
  <si>
    <t>WOS:000242638900006</t>
  </si>
  <si>
    <t>Wait, BR; Webster-Brown, JG; Brown, KL; Healy, M; Hawes, I</t>
  </si>
  <si>
    <t>Wait, B. R.; Webster-Brown, J. G.; Brown, K. L.; Healy, M.; Hawes, I.</t>
  </si>
  <si>
    <t>Chemistry and stratification of Antarctic meltwater ponds I: Coastal ponds near Bratina Island, McMurdo Ice Shelf</t>
  </si>
  <si>
    <t>freeze concentration; FREZCHEM52; geochemistry; ice; Latitudinal Gradient Project; salt exclusion</t>
  </si>
  <si>
    <t>MELT WATER PONDS; LAKES; EVOLUTION; STREAMS</t>
  </si>
  <si>
    <t>The geochemistry and vertical stratification of shallow meltwater ponds at 78 degrees S near Bratina Island (McMurdo Ice Shelf) have been determined for late winter (October) and summer (January) conditions as part of the Latitudinal Gradient Project. Of the five frozen ponds investigated in October, all were stratified with respect to conductivity, and three had highly saline basal brines beneath the ice at temperatures of -16 to -20 degrees C. In the ice column, inclusions of saline fluid were observed in channels between ice crystals; the abundance increasing with depth and decreasing ice crystal size. In January, seven of the ten ponds investigated (including ponds sampled in October) retained conductivity stratification, whereas significant thermal stratification was observed in only three ponds (maximum Delta T = 5.5 degrees C). Basal brines, ice and meltwaters were Na-Cl or Na-SO4 dominated. FREZCHEM52 modelling, supported by changes in ion ratios, indicated that the precipitation of mirabilite (Na2SO4 center dot 10H(2)O) and gypsum (CaSO4 center dot 2H(2)O) during progressive freezing is an important determinant in chemical evolution of the basal brine. High pH (8.8-11.2) and over-saturation with respect to dissolved oxygen (&gt; 20 mg L-1) in summer, and the presence of sulphide ions in basal brines in winter, occurred in those ponds which experienced high biological productivity during the summer months.</t>
  </si>
  <si>
    <t>Univ Auckland, SGES, Auckland, New Zealand; Univ Auckland, Dept Geol, Auckland, New Zealand; Natl Inst Water &amp; Atmospher Res, Christchurch, New Zealand; Univ Canterbury, Gateway Antarctica, Christchurch, New Zealand</t>
  </si>
  <si>
    <t>University of Auckland; University of Auckland; National Institute of Water &amp; Atmospheric Research (NIWA) - New Zealand; University of Canterbury</t>
  </si>
  <si>
    <t>Webster-Brown, JG (corresponding author), Univ Auckland, SGES, Private Bag 92019, Auckland, New Zealand.</t>
  </si>
  <si>
    <t>j.webster@auckland.ac.nz</t>
  </si>
  <si>
    <t>Webster-Brown, Jenny/0000-0001-9665-871X; Hawes, Ian/0000-0003-2471-6903</t>
  </si>
  <si>
    <t>10.1017/S0954102006000563</t>
  </si>
  <si>
    <t>WOS:000242638900007</t>
  </si>
  <si>
    <t>Healy, M; Webster-Brown, JG; Brown, KL; Lane, V</t>
  </si>
  <si>
    <t>Healy, M.; Webster-Brown, J. G.; Brown, K. L.; Lane, V.</t>
  </si>
  <si>
    <t>Chemistry and stratification of Antarctic meltwater ponds II: Inland ponds in the McMurdo Dry Valleys, Victoria Land</t>
  </si>
  <si>
    <t>brine; FREZCHEM62; geochemistry; Labyrinth; Latitudinal Gradient Project; nitrate; Victoria Valley</t>
  </si>
  <si>
    <t>ICE SHELF; WATERS; REGION; BEHAVIOR; STATION</t>
  </si>
  <si>
    <t>Meltwater ponds in the Victoria Valley and in the Labyrinth at the head of the Wright Valley of Victoria Land were sampled in January (summer) and October (late winter) of 2004 to establish their geochemistry and stratification, and to compare this with that of coastal meltwater ponds at a similar latitude near Bratina Island. In summer, vertical profiles were measured in 14 ponds; 10 were thermally stratified (maximum Delta T =1 1.5 degrees C) and 12 demonstrated a conductivity increase (similar to 25x) in the lowest 10-20 cm of the water column. When 11 of these ponds were resampled in October, the ice columns were stratified with respect to conductivity and five ponds had highly saline (up to 148 mS cm(-1)), oxygenated basal brines present under the ice. Basal brines and summer melt waters were Na-Cl dominated, and Victoria Valley pond meltwaters were enriched in Ca relative to the Labyrinth ponds. Early gypsum precipitation directs the chemical evolution of residual brine during freezing. These ponds were enriched in NO3 relative to the coastal ponds at Bratina Island, due to dissolution of nitrate-bearing soil salts, and the reduced influence of marine aerosols and biological productivity on pond chemistry.</t>
  </si>
  <si>
    <t>Univ Auckland, SGES, Auckland, New Zealand; Univ Auckland, Dept Geol, Auckland, New Zealand</t>
  </si>
  <si>
    <t>University of Auckland; University of Auckland</t>
  </si>
  <si>
    <t>Webster-Brown, Jenny/0000-0001-9665-871X</t>
  </si>
  <si>
    <t>10.1017/S0954102006000575</t>
  </si>
  <si>
    <t>WOS:000242638900008</t>
  </si>
  <si>
    <t>Barrett, JE; Virginia, RA; Wall, DH; Cary, SC; Adams, BJ; Hacker, AL; Aislabie, JM</t>
  </si>
  <si>
    <t>Barrett, J. E.; Virginia, R. A.; Wall, D. H.; Cary, S. C.; Adams, B. J.; Hacker, A. L.; Aislabie, J. M.</t>
  </si>
  <si>
    <t>Co-variation in soil biodiversity and biogeochemistry in northern and southern Victoria Land, Antarctica</t>
  </si>
  <si>
    <t>habitat suitability; invertebrate diversity; Latitudinal Gradient Project; microbial diversity; nematodes</t>
  </si>
  <si>
    <t>MCMURDO DRY VALLEYS; GRADIENT GEL-ELECTROPHORESIS; TAYLOR VALLEY; ORGANIC-MATTER; ISOTOPIC COMPOSITION; MICROBIAL BIOMASS; CANADA GLACIER; ROSS ISLAND; INVERTEBRATES; COMMUNITIES</t>
  </si>
  <si>
    <t>Data from six sites in Victoria Land (72-77 degrees S) investigating co-variation in soil communities (microbial and invertebrate) with biogeochemical properties showthe influence of soil properties on habitat suitability varied among local landscapes as well as across climate gradients. Species richness of metazoan invertebrates (Nematoda, Tardigrada and Rotifera) was similar to previous descriptions in this region, though identification of three cryptic nematode species of Eudorylainius through DNA analysis contributed to the understanding of controls over habitat preferences for individual species. Denaturing Gradient Gel Electrophoresis profiles revealed unexpectedly high diversity of bacteria. Distribution of distinct bacterial communities was associated with specific sites in northern and southern Victoria Land, as was the distribution of nematode and tardigrade species. Variation in soil metazoan communities was related to differences in soil organic matter, while bacterial diversity and community structure were not strongly correlated with any single soil property. There were no apparent correlations between metazoan and bacterial diversity, suggesting that controls over distribution and habitat suitability are different for bacterial and metazoan communities. Our results imply that top-down controls over bacterial diversity mediated by their metazoan consumers are not significant determinants of bacterial community structure and biomass in these ecosystems.</t>
  </si>
  <si>
    <t>Dartmouth Coll, Environm Studies Program, Hanover, NH 03755 USA; Colorado State Univ, Nat Resource Ecol Lab, Ft Collins, CO 80523 USA; Univ Delaware, Coll Marine Studies, Lewes, DE 19958 USA; Brigham Young Univ, Microbiol &amp; Mol Biol Lab, Provo, UT 84602 USA; Brigham Young Univ, Evolutionary Ecol Labs, Provo, UT 84602 USA; Univ Waikato, Hamilton, New Zealand; Landcare Res, Hamilton, New Zealand</t>
  </si>
  <si>
    <t>Dartmouth College; Colorado State University; University of Delaware; Brigham Young University; Brigham Young University; University of Waikato; Landcare Research - New Zealand</t>
  </si>
  <si>
    <t>Barrett, JE (corresponding author), Dartmouth Coll, Environm Studies Program, Hanover, NH 03755 USA.</t>
  </si>
  <si>
    <t>John.E.Barrett@Dartmouth.edu</t>
  </si>
  <si>
    <t>Wall, Diana H/F-5491-2011; Barrett, John/D-5851-2016; Adams, Byron/C-3808-2009</t>
  </si>
  <si>
    <t>Barrett, John/0000-0002-7610-0505; Cary, Stephen/0000-0002-2876-2387; Adams, Byron/0000-0002-7815-3352</t>
  </si>
  <si>
    <t>Directorate For Geosciences; Office of Polar Programs (OPP) [1041742, 0832755] Funding Source: National Science Foundation</t>
  </si>
  <si>
    <t>Directorate For Geosciences; Office of Polar Programs (OPP)(National Science Foundation (NSF)NSF - Directorate for Geosciences (GEO))</t>
  </si>
  <si>
    <t>10.1017/S0954102006000587</t>
  </si>
  <si>
    <t>WOS:000242638900009</t>
  </si>
  <si>
    <t>Cannone, N</t>
  </si>
  <si>
    <t>Cannone, Nicoletta</t>
  </si>
  <si>
    <t>A network for monitoring terrestrial ecosystems along a latitudinal gradient in Continental Antarctica</t>
  </si>
  <si>
    <t>climate change; Latitudinal Gradient Project; permanent plots; vegetation; Victoria Land</t>
  </si>
  <si>
    <t>SOUTHERN VICTORIA LAND; WILKES-LAND; LICHEN VEGETATION; KAR PLATEAU; COMMUNITIES; BRYOPHYTE; FLORA; ICE</t>
  </si>
  <si>
    <t>A network for monitoring change in the vegetation communities to assess the impact of future climate changes was established in Victoria Land (Continental Antarctica) in 2002 and 2003. The network is within the framework of the SCAR project RiSCC (Regional Sensitivity to Climate Change in Antarctic terrestrial and limnetic ecosystems), and in cooperation with LGP (Latitudinal Gradient Project) assessing how ecosystem biodiversity and structure may change with latitude and with climate change. The network is composed of 19 permanent plots at nine sites along a latitudinal gradient from Apostrophe Island (73 degrees 30'S, 167 degrees 50'E) to Granite Harbour (77 degrees 00'S, 162 degrees 26'E), with a main coastal transect and three subtransects inland from the coast. The sites are representative of the most frequent environmental conditions and the most widespread communities occurring in Continental Antarctica and in Victoria Land. The selected communities show different ecological requirements and have different potential sensitivities to climate change. The vegetation of each plot was described using the RiSCC research protocol, developed originally in the Maritime Antarctic and here adapted, for plot size, to Continental Antarctica. This paper characterizes the vegetation at the sites as the starting point of the long term monitoring.</t>
  </si>
  <si>
    <t>Univ Ferrara, Dept Nat &amp; Cultural Resources, I-44100 Ferrara, Italy</t>
  </si>
  <si>
    <t>University of Ferrara</t>
  </si>
  <si>
    <t>Cannone, N (corresponding author), Univ Ferrara, Dept Nat &amp; Cultural Resources, Corso Ercole 1 dEste 32, I-44100 Ferrara, Italy.</t>
  </si>
  <si>
    <t>nicoletta.cannone@unife.it</t>
  </si>
  <si>
    <t>Cannone, Nicoletta/W-8651-2019</t>
  </si>
  <si>
    <t>Cannone, Nicoletta/0000-0002-3390-3965</t>
  </si>
  <si>
    <t>10.1017/S0954102006000599</t>
  </si>
  <si>
    <t>WOS:000242638900010</t>
  </si>
  <si>
    <t>Brabyn, L; Beard, C; Seppelt, RD; Rudolph, ED; Türk, R; Green, TGA</t>
  </si>
  <si>
    <t>Brabyn, L.; Beard, C.; Seppelt, R. D.; Rudolph, E. D.; Turk, R.; Green, T. G. A.</t>
  </si>
  <si>
    <t>Quantified vegetation change over 42 years at Cape Hallett, East Antarctica</t>
  </si>
  <si>
    <t>algae; GIS; GPS; growth; Latitudinal Gradient Project; lichen; moss; Victoria Land</t>
  </si>
  <si>
    <t>SOUTHERN VICTORIA LAND; ECOSYSTEM RESPONSE; TERRESTRIAL; ENVIRONMENT; BRYOPHYTES; PLANTS</t>
  </si>
  <si>
    <t>This paper reports on the remapping of a carefully documented vegetation plot at Cape Hallett (72 degrees 19'S 170 degrees-16'E) to provide an assessment of the rates of vegetation change over decadal time scales. E.D. Rudolph, in 1962, mapped in detail the vegetation of a site approximately 28 m by 120 m at Cape Hallett, Victoria Land, Antarctica. This site was relocated and remapped in January 2004 and changes were assessed using GIS techniques. This appears to be the longest available time period for assessing vegetation change in Antarctica. The analysis indicated that considerable change had occurred in moss and algae distribution patterns and this seems to have been caused by increased water supply, particularly in wetter areas. There was also evidence of some change in lichen distribution. The extent of the change indicates that vegetation cover can be used for monitoring change in areas as extreme as the Ross Sea region. For this analysis to be successful it was important that the mapping techniques used were totally explicit and could easily be replicated. Fortunately, Rudolph had defined his cover classes and the site was also clearly marked. The application of GIS mapping techniques allows the mapping to be more explicitly defined and easily replicated.</t>
  </si>
  <si>
    <t>Univ Waikato, Hamilton, New Zealand; Australian Govt, Antarctic Div, Kingston, Tas 7050, Australia; Salzburg Univ, Inst Pflanzenphysiol, A-5020 Salzburg, Austria; Ohio State Univ, Columbus, OH 43212 USA</t>
  </si>
  <si>
    <t>University of Waikato; Australian Antarctic Division; Salzburg University; University System of Ohio; Ohio State University</t>
  </si>
  <si>
    <t>Brabyn, L (corresponding author), Univ Waikato, Private Bag 3105, Hamilton, New Zealand.</t>
  </si>
  <si>
    <t>larsb@waikato.ac.nz</t>
  </si>
  <si>
    <t>Brabyn, Lars/N-1479-2016</t>
  </si>
  <si>
    <t>Brabyn, Lars/0000-0002-3400-6182</t>
  </si>
  <si>
    <t>10.1017/S0954102006000605</t>
  </si>
  <si>
    <t>WOS:000242638900011</t>
  </si>
  <si>
    <t>Novis, PM; Smissen, RD</t>
  </si>
  <si>
    <t>Novis, Phil M.; Smissen, Rob D.</t>
  </si>
  <si>
    <t>Two genetic and ecological groups of Nostoc commune in Victoria Land, Antarctica, revealed by AFLP analysis</t>
  </si>
  <si>
    <t>DNA; Latitudinal Gradient Project; phylogenetic analysis; phylogeography; taxonomy; ultrastructure</t>
  </si>
  <si>
    <t>TERRESTRIAL ALGAE; CYANOBACTERIA; DIVERSITY; DISPERSAL; DESICCATION; PHYLOGENY; EVOLUTION; BACTERIA</t>
  </si>
  <si>
    <t>Microscopy, DNA sequencing, and amplified fragment length polymorphism (AFLP) were used to examine variation within Nostoc commune from collections between 72 and 78 degrees S in Victoria Land, Antarctica. Although there is considerable bias of collected material towards southern latitudes, and this material varies greatly in age (collected between 1984 and 2004), an important new phylogeographic pattern was found. DNA sequencing of the tRNA(leu)(UAA) region, used recently to define form species N. commune, revealed little variation between collections. AFLP analysis, however, split the collected material according to habitat (irrigated soil communities versus ponds), rather than latitude. These results suggest that environmental factors linked to latitude are not the greatest drivers of genetic variation in Victoria Land. These may operate at a lower level but would require intensive sampling within narrowly defined habitat types at a range of latitudes to uncover. We advocate extensive sampling across local environmental gradients based on water availability, comparative culturing, and development of sequence characterised amplified regions (SCARs) across a range of latitudes in future seasons of the Latitudinal Gradient Project.</t>
  </si>
  <si>
    <t>Allan Herbarium, Manaaki Whenua Landcare Res, Lincoln 8152, New Zealand</t>
  </si>
  <si>
    <t>Landcare Research - New Zealand</t>
  </si>
  <si>
    <t>Novis, PM (corresponding author), Allan Herbarium, Manaaki Whenua Landcare Res, POB 69, Lincoln 8152, New Zealand.</t>
  </si>
  <si>
    <t>novisp@landcareresearch.co.nz</t>
  </si>
  <si>
    <t>Smissen, Rob D/E-7692-2010</t>
  </si>
  <si>
    <t>Novis, Phil/0000-0002-8802-4984; Smissen, Rob/0000-0001-6299-1987</t>
  </si>
  <si>
    <t>10.1017/S0954102006000617</t>
  </si>
  <si>
    <t>WOS:000242638900012</t>
  </si>
  <si>
    <t>Ryan, KG; Hegseth, EN; Martin, A; Davy, SK; O'Toole, R; Ralph, PJ; McMinn, A; Thorn, CJ</t>
  </si>
  <si>
    <t>Ryan, K. G.; Hegseth, E. N.; Martin, A.; Davy, S. K.; O'Toole, R.; Ralph, P. J.; McMinn, A.; Thorn, C. J.</t>
  </si>
  <si>
    <t>Comparison of the microalgal community within fast ice at two sites along the Ross Sea coast, Antarctica</t>
  </si>
  <si>
    <t>biomass; Cape Evans; Cape Hallett; Latitudinal Gradient Project; pack ice; primary production; Victoria Land</t>
  </si>
  <si>
    <t>TERRA-NOVA BAY; MCMURDO-SOUND; MICROBIAL COMMUNITIES; BOTTOM-ICE; PHYTOPLANKTON; BIOMASS; SUMMER; ALGAE; PRODUCTIVITY; ECOSYSTEM</t>
  </si>
  <si>
    <t>Diverse microbial communities survive within the sea ice matrix and are integral to the energy base of the Southern Ocean. Here we describe initial findings of a four season survey (between 1999-2004) of community structure and biomass ofmicroalgae within the sea ice and in the underlying water column at Cape Evans and Cape Hallett, in the Ross Sea, Antarctica as part of the Latitudinal Gradient Project. At Cape Evans, bottom-ice chlorophyll a levels ranged from 4.4 to 173 mg Chl a m(-2). Dominant species were Nitzschia stellata, N. lecointei, and Entomoneis kjellnianii, while the proportion of Berkelelya adeliensis increased steadily during spring. Despite being obtained later in the season, the Cape Hallett data show considerably lower standing stocks of chlorophyll ranging from 0.11 to 36.8 mg Chi a m(-2). This difference was attributed to a strong current, which may have ablated much of the bottom ice biomass and provided biomass to the water below. This loss of algae from the bottom of the ice may explain why the ice community contributed only 2% of the standing stock in the total water column. Dominant species at Cape Hallett were Nitzschia stellata, Fragilariopsis curta and Cylindrotheca closterium. The low biomass at Cape Hallett and the prevalence of smaller-celled diatoms in the bottom ice community indicate that the ice here is more typical of pack ice than fast ice. Further data will allow us to quantify and model the extent to which ice-driven dynamics control the structure and function of the sea ice ecosystem and to assess its resilience to changing sea ice conditions.</t>
  </si>
  <si>
    <t>Victoria Univ Wellington, Wellington, New Zealand; Univ Tromso, Norwegian Coll Fishery Sci, N-9037 Tromso, Norway; Univ Technol Sydney, Res Inst Water &amp; Environm Resource Management, Dept Environm Sci, Sydney, NSW 2007, Australia; Univ Tasmania, Inst Antarctic &amp; So Ocean Studies, Hobart, Tas 7001, Australia</t>
  </si>
  <si>
    <t>Victoria University Wellington; UiT The Arctic University of Tromso; University of Technology Sydney; University of Tasmania</t>
  </si>
  <si>
    <t>Ryan, KG (corresponding author), Victoria Univ Wellington, POB 600, Wellington, New Zealand.</t>
  </si>
  <si>
    <t>Ken.Ryan@vuw.ac.nz</t>
  </si>
  <si>
    <t>Ryan, Ken/F-5652-2013; O'Toole, Ronan F/J-7280-2014; Martin, Andrew/F-5688-2013; McMinn, Andrew/A-9910-2008; Ralph, Peter/L-1527-2019</t>
  </si>
  <si>
    <t>O'Toole, Ronan F/0000-0002-4579-4479; Ralph, Peter/0000-0002-3103-7346; Davy, Simon/0000-0003-3584-5356; Martin, Andrew/0000-0001-8260-5529; Ryan, Ken/0000-0001-7075-0112</t>
  </si>
  <si>
    <t>10.1017/S0954102006000629</t>
  </si>
  <si>
    <t>WOS:000242638900013</t>
  </si>
  <si>
    <t>Sewell, MA</t>
  </si>
  <si>
    <t>Sewell, Mary A.</t>
  </si>
  <si>
    <t>The meroplankton community of the northern Ross Sea: a preliminary comparison with the McMurdo Sound region</t>
  </si>
  <si>
    <t>Antarctica; Cape Hallett; larva; Latitudinal Gradient Project; Victoria Land coast</t>
  </si>
  <si>
    <t>INVERTEBRATE LARVAE; WHITE ISLAND; ICE SHELF; ABUNDANCE; ZOOPLANKTON; ANTARCTICA; PLANKTON</t>
  </si>
  <si>
    <t>As part of the Latitudinal Gradient Project (LGP) the coastal meroplankton community is being studied along the coast of Victoria Land, in the Ross Sea, Antarctica. In this preliminary analysis the meroplankton community from Cape Hallett (72 degrees S) is compared to that from two previously sampled sites in the south-western Ross Sea; at Cape Roberts and in McMurdo Sound (c. 77 degrees S). Non-metric multidimensional scaling (MDS), a hierarchical cluster analysis and permutational MANOVA in combination show that the meroplankton composition differs significantly between the three sites. Although this preliminary analysis includes only one nor-them Ross Sea site, the results suggest that there are differences in meroplankton composition along the Victoria Land coast. Several larval types, including annelid trochophores, unidentified annelid larva, echinospira, barnacle nauplius, asteroid, echinoid, and ophiuroid larvae were absent or rare in the south-western Ross Sea but found abundantly at Cape Hallett. Detailed analysis of the meroplankton community at Cape Hallett and further examination of changes in the meroplankton community along the Victoria Land coast will continue in future years of the LGP.</t>
  </si>
  <si>
    <t>Univ Auckland, Sch Biol Sci, Auckland 11421, New Zealand</t>
  </si>
  <si>
    <t>University of Auckland</t>
  </si>
  <si>
    <t>Sewell, MA (corresponding author), Univ Auckland, Sch Biol Sci, Private Bag 92019, Auckland 11421, New Zealand.</t>
  </si>
  <si>
    <t>m.sewell@auckland.ac.nz</t>
  </si>
  <si>
    <t>Sewell, Mary A/C-9017-2009</t>
  </si>
  <si>
    <t>Sewell, Mary A/0000-0002-1595-7951</t>
  </si>
  <si>
    <t>10.1017/S0954102006000630</t>
  </si>
  <si>
    <t>WOS:000242638900014</t>
  </si>
  <si>
    <t>Povero, P; Castellano, M; Ruggieri, N; Monticell, LS; Saggiomo, V; Chiantore, M; Guidetti, M; Cattaneo-Vietti, R</t>
  </si>
  <si>
    <t>Povero, Paolo; Castellano, Michela; Ruggieri, Nicoletta; Monticell, Luis S.; Saggiomo, Vincenzo; Chiantore, Mariachiara; Guidetti, Marta; Cattaneo-Vietti, Riccardo</t>
  </si>
  <si>
    <t>Water column features and their relationship with sediments and benthic communities along the Victoria Land coast, Ross Sea, summer 2004</t>
  </si>
  <si>
    <t>Antarctica; Latitudinal Gradient Project; pelagic-benthic coupling</t>
  </si>
  <si>
    <t>TERRA-NOVA-BAY; ORGANIC-MATTER COMPOSITION; PARTICULATE MATTER; VERTICAL FLUX; ADAMUSSIUM-COLBECKI; CONTINENTAL-SHELF; ANTARCTIC COASTAL; FOOD AVAILABILITY; PARTICLE FLUXES; CHLOROPHYLL-A</t>
  </si>
  <si>
    <t>The northern Victoria Land coastal marine environment was investigated during the late summer 2004, within the framework of the Latitudinal Gradient Project (LGP), to describe the physical, chemical and biological patterns of the water column and their relationship with the pelagic and benthic compartments, and to determine to what extent they change with latitude. A latitudinal gradient from Cape Adare to the Terra Nova Bay-Cape Russell area was determined on the basis of abiotic and trophic factors. Cape Adare had lower values of organic matter (particulate organic carbon &lt; 150 mu g l(-1)) available for the benthic communities, but this organic matter had good trophic quality. In Terra Nova Bay the particulate organic matter was quantitatively higher (organic carbon &gt; 400 mu g l(-1)), presumably reaching the bottom via faecal pellets, but was more detrital, although its nutritive value was still high (carbon protein content nearly 40%), as confin-ned by the great quantity of phytopigments in the sediments (&gt; 4.0 mu g g(-1)). The benthic communities changed with latitude as well, partially reflecting the environmental and trophic gradient, but also showing a large within-area variability (except for the Cape Adare area), due to a complex array of variables that did not change with latitude.</t>
  </si>
  <si>
    <t>Univ Genoa, Dipartimento Studio Terr &amp; Risorse, I-16132 Genoa, Italy; Museo Nazl Antartide, Sez Genova, I-16132 Genoa, Italy; CNR, Ist Ambiente Marino Costiero, I-98122 Messina, Italy; Staz Zool Anton Dohrn, I-80121 Naples, Italy</t>
  </si>
  <si>
    <t>University of Genoa; Consiglio Nazionale delle Ricerche (CNR); L'Istituto per l'Ambiente Marino Costiero (IAMC-CNR); Stazione Zoologica Anton Dohrn di Napoli</t>
  </si>
  <si>
    <t>Povero, P (corresponding author), Univ Genoa, Dipartimento Studio Terr &amp; Risorse, Corso Europa 26, I-16132 Genoa, Italy.</t>
  </si>
  <si>
    <t>povero@unige.it</t>
  </si>
  <si>
    <t>; Chiantore, Mariachiara/C-7070-2017</t>
  </si>
  <si>
    <t>Castellano, Michela/0000-0001-6101-0112; Chiantore, Mariachiara/0000-0002-5862-1470</t>
  </si>
  <si>
    <t>10.1017/S0954102006000642</t>
  </si>
  <si>
    <t>WOS:000242638900015</t>
  </si>
  <si>
    <t>Schiaparelli, S; Lörz, AN; Cattaneo-Vietti, R</t>
  </si>
  <si>
    <t>Schiaparelli, Stefano; Lorz, Anne-Nina; Cattaneo-Vietti, Riccardo</t>
  </si>
  <si>
    <t>Diversity and distribution of mollusc assemblages on the Victoria Land coast and the Balleny Islands, Ross Sea, Antarctica</t>
  </si>
  <si>
    <t>diversity; Latitudinal Gradient Project; mollusca; Southern Ocean</t>
  </si>
  <si>
    <t>LATITUDINAL GRADIENT PROJECT; BENTHIC COMMUNITIES; NONPARAMETRIC-ESTIMATION; SPECIES RICHNESS; POPULATION-SIZE; IMPACT; ICE; QUANTIFICATION; PATTERNS; ORIGIN</t>
  </si>
  <si>
    <t>In 2004 as part of the joint Latitudinal Gradient Project in the Ross Sea, cruises of RV Tangaroa and RV Italica along the Victoria Land coast and the Balleny Islands collected 142 species of mollusc (four Polyplacophora, 99 Gastropoda, 37 Bivalvia and two Scaphopoda). About 20% of these species represent new records for the Ross Sea quadrant. The species richness was found to be higher at 71-72 degrees S (Cape Hallett-Cape Adare) and lower at 74-75 degrees S (Terra Nova Bay-Cape Russell) using Shannon-Wiener's H', Pielou's J' and Simpson's X indices, as well as by using species richness estimators (e.g. ICE, Chao 2, Jack 2). The Balleny Islands (65-67 degrees S), though not exhaustively sampled, show diversity values comparable to those of Terra Nova Bay-Cape Russell. These islands, located in the main Antarctic Coastal Current, appear to represent a crossroads in the Southern Ocean, with mollusc and other invertebrate species present, that have previously been recorded only from the Weddell Sea. The higher diversity in the Cape Hallett Cape Adare area is not easy to interpret, but could be a result of the intense iceberg scouring off the two capes, observed from seafloor mapping, a factor that is known to enhance species diversity at the regional scale. The existence of a decreasing trend in diversity towards higher latitudes along the Victoria Land coast cannot yet be shown, due to the large gaps in sampling coverage.</t>
  </si>
  <si>
    <t>Univ Genoa, DIPTERIS, Dipartimento Studio Terr &amp; Risorse, I-16132 Genoa, Italy; Natl Inst Water &amp; Atmospher Res, NIWA, Wellington, New Zealand</t>
  </si>
  <si>
    <t>University of Genoa; National Institute of Water &amp; Atmospheric Research (NIWA) - New Zealand</t>
  </si>
  <si>
    <t>Schiaparelli, S (corresponding author), Univ Genoa, DIPTERIS, Dipartimento Studio Terr &amp; Risorse, Corso Europa 26, I-16132 Genoa, Italy.</t>
  </si>
  <si>
    <t>steschia@dipteris.unige.it</t>
  </si>
  <si>
    <t>Schiaparelli, Stefano/AAI-4024-2020</t>
  </si>
  <si>
    <t>Schiaparelli, Stefano/0000-0002-0137-3605</t>
  </si>
  <si>
    <t>10.1017/S0954102006000654</t>
  </si>
  <si>
    <t>WOS:000242638900016</t>
  </si>
  <si>
    <t>Cummings, V; Thrush, S; Norkko, A; Andrew, N; Hewitt, J; Funnell, G; Schwarz, AM</t>
  </si>
  <si>
    <t>Cummings, Vonda; Thrush, Simon; Norkko, Alf; Andrew, Neil; Hewitt, Judi; Funnell, Greig; Schwarz, Anne-Maree</t>
  </si>
  <si>
    <t>Accounting for local scale variability in benthos: implications for future assessments of latitudinal trends in the coastal Ross Sea</t>
  </si>
  <si>
    <t>Antarctica; benthic community; environmental variables; habitat structure; latitude; Latitudinal Gradient Project</t>
  </si>
  <si>
    <t>MCMURDO SOUND; BIODIVERSITY; COMMUNITIES; SHALLOW; ANTARCTICA; DIVERSITY; IMPACT; ICE</t>
  </si>
  <si>
    <t>This paper is a contribution to the Latitudinal Gradient Project. It describes macro and epifaunal assemblages and habitats at three shallow water locations at the southern end of the western Ross Sea coast, and investigates relationships between faunal composition and environmental characteristics. Many variables (e.g. substrate type, sediment composition, depth, latitude, longitude) contributed to explaining the differences in community composition between locations, with latitude (a likely surrogate for broader scale factors, e.g. ice cover) one of the most important. The percentage explained by environmental characteristics was strongly scale dependent, decreasing with increasing scale of observation. As much as 66% and 75% of the variability in macrofaunal and epifaunal assemblages, respectively, was explained at the smallest scale (i.e. between transects within a location), compared to 9-18% and 11-32%, respectively, at the scale of the entire study. This relationship was also true for species richness and total abundance. This suggests that while small-scale habitat variability will not confound our ability to detect latitudinal gradients in future studies, adequately quantifying the environmental factors important in structuring these communities at larger (latitudinal) spatial scales will be important. Finally, large differences in habitat structure did not translate into large differences in the diversity of fauna, illustrating the difficulty of predicting faunal composition in the Ross Sea based on seafloor topography alone.</t>
  </si>
  <si>
    <t>Natl Inst Water &amp; Atmospher Res, Wellington, New Zealand; Natl Inst Water &amp; Atmospher Res, Hamilton, New Zealand</t>
  </si>
  <si>
    <t>National Institute of Water &amp; Atmospheric Research (NIWA) - New Zealand; National Institute of Water &amp; Atmospheric Research (NIWA) - New Zealand</t>
  </si>
  <si>
    <t>Cummings, V (corresponding author), Natl Inst Water &amp; Atmospher Res, POB 14-901, Wellington, New Zealand.</t>
  </si>
  <si>
    <t>v.cummings@niwa.co.nz</t>
  </si>
  <si>
    <t>Norkko, Alf/K-2341-2019; Norkko, Alf/L-8736-2019; andrew, neil/AAG-6360-2020; Andrew, Neil/B-8614-2009; Norkko, Alf/A-1856-2012</t>
  </si>
  <si>
    <t>andrew, neil/0000-0002-2337-8722; Thrush, Simon/0000-0002-4005-3882; Norkko, Alf/0000-0002-9741-4458; Cummings, Vonda/0000-0003-1076-3995</t>
  </si>
  <si>
    <t>10.1017/S0954102006000666</t>
  </si>
  <si>
    <t>WOS:000242638900017</t>
  </si>
  <si>
    <t>Guidetti, M; Marcato, S; Chiantore, M; Patarnello, T; Albertelli, G; Cattaneo-Vietti, R</t>
  </si>
  <si>
    <t>Guidetti, Marta; Marcato, Stefania; Chiantore, Mariachiara; Patarnello, Tomaso; Albertelli, Giancarlo; Cattaneo-Vietti, Riccardo</t>
  </si>
  <si>
    <t>Exchange between populations of Adamussium colbecki (Mollusca: Bivalvia) in the Ross Sea</t>
  </si>
  <si>
    <t>AFLP; Latitudinal Gradient Project; panmixia hypothesis; population structure; scallops</t>
  </si>
  <si>
    <t>TERRA-NOVA BAY; STAR ODONTASTER-VALIDUS; URCHIN STERECHINUS-NEUMAYERI; ANTARCTIC SCALLOP; LARVAL DEVELOPMENT; MCMURDO SOUND; GENE FREQUENCIES; SOUTHERN-OCEAN; VICTORIA LAND; GROWTH</t>
  </si>
  <si>
    <t>The endemic Antarctic scallop Adamussium colbecki (Mollusca: Bivalvia) represents a key species in the Ross Sea littoral benthic ecosystem, locally reaching very high densities. This species has an annual gametogenic cycle, with a summer spawning event, and a pelagic larval behaviour. This paper aims at describing population structure and genetic polymorphism (using AFLP) of the large populations inhabiting the Ross Sea (Terra Nova Bay and McMurdo Sound) in order to investigate possible genetic exchange between A. colbecki in these areas. In Terra Nova Bay, size-frequency distributions show, generally, the dominance of large individuals, although site related differences are found in the abundance of smaller size classes (less than 40 mm), suggesting that recruitment is not a regular event. All McMurdo sites are characterized by large individuals and, at least during this sampling period, recruitment is completely absent. Nuclear DNA analyses show that the largest differences are found at the largest scale (between McMurdo Sound and Terra Nova Bay), but all populations sampled, even at a smaller spatial scale, have a well-settled genetic structure, notwithstanding the pelagic larval strategy. The panmixia hypothesis has therefore to be rejected for this species.</t>
  </si>
  <si>
    <t>Museo Nazl Antartide, Sez Genova, I-16132 Genoa, Italy; Univ Padua, Dipartimento Biol, I-35131 Padua, Italy; Univ Genoa, Dipartimento Studio Terr &amp; Risorse, I-16132 Genoa, Italy; Univ Padua, Fac Med &amp; Vet, I-35020 Padua, Italy</t>
  </si>
  <si>
    <t>University of Padua; University of Genoa; University of Padua</t>
  </si>
  <si>
    <t>Guidetti, M (corresponding author), Museo Nazl Antartide, Sez Genova, Via Benedetto XV 5, I-16132 Genoa, Italy.</t>
  </si>
  <si>
    <t>guidetti@dipteris.unige.it</t>
  </si>
  <si>
    <t>Chiantore, Mariachiara/C-7070-2017</t>
  </si>
  <si>
    <t>Chiantore, Mariachiara/0000-0002-5862-1470; PATARNELLO, Tomaso/0000-0003-1794-5791</t>
  </si>
  <si>
    <t>10.1017/S0954102006000678</t>
  </si>
  <si>
    <t>WOS:000242638900018</t>
  </si>
  <si>
    <t>De Domenico, F; Chiantore, M; Buongiovanni, S; Ferranti, MP; Ghione, S; Thrush, S; Cummings, V; Hewitt, J; Kroeger, K; Cattaneo-Vietti, R</t>
  </si>
  <si>
    <t>De Domenico, Francesca; Chiantore, Mariachiara; Buongiovanni, Sabrina; Ferranti, Maria Paola; Ghione, Serena; Thrush, Simon; Cummings, Vonda; Hewitt, Judi; Kroeger, Kerstin; Cattaneo-Vietti, Riccardo</t>
  </si>
  <si>
    <t>Latitude versus local effects on echinoderm assemblages along the Victoria Land coast, Ross Sea, Antarctica</t>
  </si>
  <si>
    <t>alpha and beta diversity; Balleny Islands; benthic diversity; Latitudinal Gradient Project</t>
  </si>
  <si>
    <t>BRITTLE STARS ECHINODERMATA; DIVERSITY; BENTHOS; BIODIVERSITY; COMMUNITY; ABUNDANCE; DISTURBANCE; OPHIUROIDEA; WEDDELL; IMPACT</t>
  </si>
  <si>
    <t>Data from two new cruises is used to assess whether latitude plays any role in influencing broadscale spatial patterns in echinoderm assemblage composition along the Victoria Land coast and the Balleny Islands as a contribution to the Latitudinal Gradient Project. Our results indicate that a latitudinal gradient is influencing assemblage structure in subtle and non-linear ways. The Balleny Islands system is different from the Victoria Land coast, probably because of a different biogeographic origin and current oceanographic conditions. Along the Victoria Land coast, latitude related differences arise when taking into account benthic biodiversity at different spatial scales. Alpha diversity increases from north to south, but beta diversity shows the opposite trend, although not linearly, suggesting the different importance of the iceberg disturbance along the northern Victoria Land coast.</t>
  </si>
  <si>
    <t>Univ Genoa, DIPTERIS, Genoa, Italy; Natl Inst Water &amp; Atmospher Res, Hamilton, New Zealand</t>
  </si>
  <si>
    <t>De Domenico, F (corresponding author), Univ Genoa, DIPTERIS, Genoa, Italy.</t>
  </si>
  <si>
    <t>dedomenico@dipteris.unige.it</t>
  </si>
  <si>
    <t>Ferranti, Maria Paola/HZJ-2997-2023; Chiantore, Mariachiara/C-7070-2017</t>
  </si>
  <si>
    <t>Ferranti, Maria Paola/0000-0001-7071-8884; Cummings, Vonda/0000-0003-1076-3995; Chiantore, Mariachiara/0000-0002-5862-1470; Thrush, Simon/0000-0002-4005-3882</t>
  </si>
  <si>
    <t>10.1017/S095410200600068X</t>
  </si>
  <si>
    <t>WOS:000242638900019</t>
  </si>
  <si>
    <t>Karlsen, O; Suontama, J; Olsen, RE</t>
  </si>
  <si>
    <t>Karlsen, Orjan; Suontama, Jorma; Olsen, Rolf Erik</t>
  </si>
  <si>
    <t>Effect of Antarctic krillmeal on quality of farmed Atlantic cod (Gadus morhua L.)</t>
  </si>
  <si>
    <t>AQUACULTURE RESEARCH</t>
  </si>
  <si>
    <t>Atlantic cod; Antarctic krill; quality; sensory analysis; Euphausia superba</t>
  </si>
  <si>
    <t>RAINBOW-TROUT; COLOR; FEED; RETENTION; FLUORIDE; PROTEIN; STORAGE; GROWTH; LIGHT; MEAL</t>
  </si>
  <si>
    <t>Farmed Atlantic cod with a mean weight of 4.8 kg were maintained for 9 weeks in sea cages and fed diets where the dietary fishmeal component was substituted with increasing proportions (0%, 22%, 63% and 100%) of meal from Antarctic krill, Euphausia superba. Wild-caught cod were included in the study as external control. At termination of feeding, all fish were slaughtered and muscle pH was immediately recorded. The fish were then stored on ice for three days and assessed for muscle pH and objective (skin and fillet colour, and fillet texture) and subjective (sensory evaluation) quality criteria. Replacement of fishmeal with krillmeal in the diets resulted in the skin colour above and below the lateral line to be more red than the control group without krillmeal substitutions, even though this difference was not significant, and with more yellow hue. Additions of krillmeal increased the muscle whiteness and yellow hue compared with the control group and wild fish. There was no difference in red hue between the groups. Muscle pH, texture or sensory attributes were unaffected by dietary inclusion level of krillmeal. Wild-caught cod deviated in several aspects from the farmed cod. It is concluded that the replacement of fishmeal with Antarctic krillmeal in the diets two months before slaughter did not move the sensory attributes more towards wild fish.</t>
  </si>
  <si>
    <t>Inst Marine Res, Matredal, Norway</t>
  </si>
  <si>
    <t>Institute of Marine Research - Norway</t>
  </si>
  <si>
    <t>Karlsen, O (corresponding author), Inst Marine Res, N-5392 Storebo, Norway.</t>
  </si>
  <si>
    <t>Oerjan.Karlsen@imr.no</t>
  </si>
  <si>
    <t>Karlsen, Ørjan/K-6137-2012</t>
  </si>
  <si>
    <t>Karlsen, Ørjan/0000-0001-5801-4200; Olsen, Rolf Erik/0000-0002-6633-5837; Olsen, Rolf/0000-0001-7523-3165</t>
  </si>
  <si>
    <t>1355-557X</t>
  </si>
  <si>
    <t>AQUAC RES</t>
  </si>
  <si>
    <t>Aquac. Res.</t>
  </si>
  <si>
    <t>DEC 1</t>
  </si>
  <si>
    <t>10.1111/j.1365-2109.2006.01615.x</t>
  </si>
  <si>
    <t>107UW</t>
  </si>
  <si>
    <t>WOS:000242197500009</t>
  </si>
  <si>
    <t>Oberst, TE; Parshley, SC; Stacey, GJ; Nikola, T; Löhr, A; Harnett, JI; Tothill, NFH; Lane, AP; Stark, AA; Tucker, CE</t>
  </si>
  <si>
    <t>Oberst, T. E.; Parshley, S. C.; Stacey, G. J.; Nikola, T.; Lohr, A.; Harnett, J. I.; Tothill, N. F. H.; Lane, A. P.; Stark, A. A.; Tucker, C. E.</t>
  </si>
  <si>
    <t>Detection of the 205 μm [N II] line from the Carina nebula</t>
  </si>
  <si>
    <t>ASTROPHYSICAL JOURNAL</t>
  </si>
  <si>
    <t>HII regions; infrared : ISM; instrumentation : spectrographs; ISM : atoms; ISM : individual (Carina Nebula); ISM : lines and bands</t>
  </si>
  <si>
    <t>ANTARCTIC-SUBMILLIMETER-TELESCOPE; ETA-CARINAE; C-II; EMISSION; MICRON; REGIONS; GALAXIES; ORIGIN</t>
  </si>
  <si>
    <t>We report the first detection of the 205 mu m P-3(t) -&gt; (3) P-0 [NII] line from a ground- based observatory using a direct detection spectrometer. The line was detected from the Carina star formation region using the South Pole Imaging Fabry-Perot Interferometer (SPIFI) on the Antarctic Submillimeter Telescope and Remote Observatory (AST/RO) at the South Pole. The [N II] 205 mu m line strength indicates a low-density (n similar to 32 cm(-3)) ionized medium, similar to the low-density ionized halo previously reported in its [O III] 52 and 88 mu m line emission. When compared with the Infrared Space Observatory [C II] observations of this region, we find that 27% of the [C II] line emission arises from this low-density ionized gas, but the large majority (similar to 73%) of the observed [C II] line emission arises from the neutral interstellar medium. This result supports and underpins prior conclusions that most of the observed [C II] 158 mm line emission from Galactic and extragalactic sources arises from the warm, dense photodissociated surfaces of molecular clouds. The detection of the [N II] line demonstrates the utility of Antarctic sites for THz spectroscopy.</t>
  </si>
  <si>
    <t>Cornell Univ, Dept Astron, Ithaca, NY 14853 USA; Harvard Smithsonian Ctr Astrophys, Cambridge, MA 02138 USA; Univ Wales Coll Cardiff, Dept Phys &amp; Astron, Cardiff CF24 3YB, S Glam, Wales</t>
  </si>
  <si>
    <t>Cornell University; Smithsonian Astrophysical Observatory; Harvard University; Smithsonian Institution; Cardiff University</t>
  </si>
  <si>
    <t>Oberst, TE (corresponding author), Cornell Univ, Dept Astron, Ithaca, NY 14853 USA.</t>
  </si>
  <si>
    <t>Tothill, Nicholas/O-2682-2019; Tothill, Nicholas/M-6379-2016</t>
  </si>
  <si>
    <t>Tothill, Nicholas/0000-0002-9931-5162</t>
  </si>
  <si>
    <t>0004-637X</t>
  </si>
  <si>
    <t>ASTROPHYS J</t>
  </si>
  <si>
    <t>Astrophys. J.</t>
  </si>
  <si>
    <t>L125</t>
  </si>
  <si>
    <t>L128</t>
  </si>
  <si>
    <t>10.1086/510289</t>
  </si>
  <si>
    <t>112MS</t>
  </si>
  <si>
    <t>WOS:000242530700014</t>
  </si>
  <si>
    <t>Lee, BY; Cho, HK; Kim, J; Jung, YJ; Lee, YG</t>
  </si>
  <si>
    <t>Lee, Bang Yong; Cho, Hi Ku; Kim, Jhoon; Jung, Yeon Jin; Lee, Yun Gon</t>
  </si>
  <si>
    <t>Recent Changes in Solar Irradiance, Air Temperature and Cloudiness at King Sejong Station, Antarctica</t>
  </si>
  <si>
    <t>ATMOSPHERE-KOREA</t>
  </si>
  <si>
    <t>Korean</t>
  </si>
  <si>
    <t>global solar irradiance; erythermal ultraviolet irradiance; cloudiness; Antarctica</t>
  </si>
  <si>
    <t>The long-term trends of global solar irradiance, air temperature, specific humidity and cloudiness measured at King Sejong station, Antarctica, during the period of 1988-2004, have been investigated. A statistically insignificant decrease, -0.21 Wm-2yr-1 (-0.26 % yr-1, P&lt;0.5) in global solar irradiance was found in an analysis from the time series of the monthly mean values, except for the increasing trends only in two months of January and June. The trends in irradiance are directly and inversely associated with the cloudiness trends in annual and monthly means. The trends in surface air temperature show a slight warming, 0.03oCyr-1 (1.88 % yr-1, P&lt;0.5) on the annual average, with cooling trend in the summer months and the warming in the winter. The exact relationship, if any, between the irradiance and temperature trends is not known. No significant tendency was found in specific humidity for the same periods. Recent (1996-2004) erythermal ultraviolet irradiance shows decreasing trend in annual mean, -0.15 mWm-2yr-1 (-1.18 % yr-1, P&lt;0.1) which is about five times the trends of global solar irradiance. The ratio of erythermal ultraviolet to global solar irradiance shows remarkable seasonal variations with annual mean value of 0.01 % and a peak in October and November, showing the increase of ultraviolet irradiance resulting from the Antarctic ozone hole. The sensitivity of global solar irradiance to the change in cloudiness is roughly 13 % oktas-1 which is about twice of the value at the South Pole due to the difference in the average surface reflectance between the two stations. Much more sensitive values of 59 % oktas-1 was found for erythermal UV irradiance than for the global solar irradiance.</t>
  </si>
  <si>
    <t>[Lee, Bang Yong] KORDI, Korea Polar Res Inst, Seoul, South Korea; [Cho, Hi Ku; Kim, Jhoon; Jung, Yeon Jin; Lee, Yun Gon] Yonsei Univ, Dept Atmospher Sci, Global Environm Lab, 134 Sinchon Dong, Seoul 120749, South Korea</t>
  </si>
  <si>
    <t>Korea Institute of Ocean Science &amp; Technology (KIOST); Korea Polar Research Institute (KOPRI); Yonsei University</t>
  </si>
  <si>
    <t>Kim, J (corresponding author), Yonsei Univ, Dept Atmospher Sci, Global Environm Lab, 134 Sinchon Dong, Seoul 120749, South Korea.</t>
  </si>
  <si>
    <t>jkim2@yonsei.ac.kr</t>
  </si>
  <si>
    <t>Kim, Jhoon/F-6635-2013</t>
  </si>
  <si>
    <t>Kim, Jhoon/0000-0002-1508-9218</t>
  </si>
  <si>
    <t>KOREAN METEOROLOGICAL SOC</t>
  </si>
  <si>
    <t>SEOUL</t>
  </si>
  <si>
    <t>SHINKIL-DONG 508, SIWON BLDG 704, YONGDUNGPO-GU, SEOUL, 150-050, SOUTH KOREA</t>
  </si>
  <si>
    <t>1598-3560</t>
  </si>
  <si>
    <t>2288-3266</t>
  </si>
  <si>
    <t>ATMOS-KOREA</t>
  </si>
  <si>
    <t>Atmos.-Korea</t>
  </si>
  <si>
    <t>V9U0O</t>
  </si>
  <si>
    <t>WOS:000422524100006</t>
  </si>
  <si>
    <t>Luts, A; Parts, TE; Vana, M</t>
  </si>
  <si>
    <t>Luts, A.; Parts, T. -E.; Vana, M.</t>
  </si>
  <si>
    <t>New aerosol particle formation via certain ion driven processes</t>
  </si>
  <si>
    <t>ATMOSPHERIC RESEARCH</t>
  </si>
  <si>
    <t>16th International Conference on Nucleation and Atmospheric Aerosols</t>
  </si>
  <si>
    <t>JUL 26-30, 2004</t>
  </si>
  <si>
    <t>Kyoto Univ, Grad Sch Energy Sci, Kyoto, JAPAN</t>
  </si>
  <si>
    <t>Kyoto Univ, Grad Sch Energy Sci</t>
  </si>
  <si>
    <t>small air ion spectrum; ion-ion recombination; nucleation; new particle formation</t>
  </si>
  <si>
    <t>CLUSTERS; NUCLEATION; MOBILITY</t>
  </si>
  <si>
    <t>Ions can speed up the formation of aerosol particles. The former studies have mainly concerned on the role of the ion charge itself. We have studied the possible (additional) role of the actual small air ion spectrum shape, and the quantitative role of ion-ion recombination pathway. By means of our ion evolution model, formation of new species (H2SO4)(n)(NH3)(m)(HNO3)(k) via ion-ion recombination was investigated. The model shows how the generation rate of the new species depends on the concentrations of H2SO4 and NH3, and how it depends on the tropospheric background aerosol situation. The rate can be up to a few new neutral complexes per cubic centimeter and per second. New particle generation via ion-ion recombination provides an extra channel, especially for the clean atmosphere. Former results have shown that such situations are often present in Antarctica. Our aerosol spectrum measurements reveal a number of similar non-Antarctic results. Sometimes, such situations are followed by aerosol bursts, which may be (partly) due to an ion-ion recombination channel. (c) 2006 Elsevier B.V. All rights reserved.</t>
  </si>
  <si>
    <t>Univ Tartu, Inst Environm Phys, EE-50090 Tartu, Estonia</t>
  </si>
  <si>
    <t>University of Tartu</t>
  </si>
  <si>
    <t>Luts, A (corresponding author), Univ Tartu, Inst Environm Phys, Ulikooli 18, EE-50090 Tartu, Estonia.</t>
  </si>
  <si>
    <t>Aare.Luts@ut.ee</t>
  </si>
  <si>
    <t>Luts, Aare/O-1461-2019; Vana, Marko/N-9112-2019</t>
  </si>
  <si>
    <t>Luts, Aare/0000-0002-5663-557X; Vana, Marko/0000-0001-7555-9843</t>
  </si>
  <si>
    <t>STE 800, 230 PARK AVE, NEW YORK, NY 10169 USA</t>
  </si>
  <si>
    <t>0169-8095</t>
  </si>
  <si>
    <t>1873-2895</t>
  </si>
  <si>
    <t>ATMOS RES</t>
  </si>
  <si>
    <t>Atmos. Res.</t>
  </si>
  <si>
    <t>10.1016/j.atmosres.2006.02.011</t>
  </si>
  <si>
    <t>118FA</t>
  </si>
  <si>
    <t>WOS:000242926500009</t>
  </si>
  <si>
    <t>Church, JA; Hunter, JR; McInnes, KL; White, NJ</t>
  </si>
  <si>
    <t>Church, John A.; Hunter, John R.; McInnes, Kathleen L.; White, Neil J.</t>
  </si>
  <si>
    <t>Sea-level rise around the Australian coastline and the changing frequency of extreme sea-level events</t>
  </si>
  <si>
    <t>AUSTRALIAN METEOROLOGICAL MAGAZINE</t>
  </si>
  <si>
    <t>TROPICAL CYCLONES; MODEL; INTENSITY; IMPACT</t>
  </si>
  <si>
    <t>Sea-level rise is one of the well-known impacts of climate change. A recently completed analysis of available tide-gauge data for the period 1950 to 2000 indicates a global average rate of sea-level rise of 1.8 +/- 03 mm per year. For this period, the analysis indicates a minimum sea-level rise to the northwest of Australia. Here, we rind that the change of relative mean sea level around the Australian coastline for the period 1920 to 2000 is about 1.2 mm per year. There are only two records sufficiently long to examine changes in the frequency of extreme events, Fremantle and Fort Denison, Sydney. For both locations, there is a decrease in the average recurrence interval (ARI) by factors of about three for extreme sea levels from the pre-1950 period to the post-1950 period. We also demonstrate a method for estimating the frequency of extreme events from a combination of tides and storm surges for locations with little or no data. For Cairns, we find that the 1-in-100 year sea-level event increases in height from about 2.5 rn to 2.9 m by 2050 as a result of a modest future sea-level rise and possible future changes in cyclone intensity. Equivalently, the ARI period of a 2.5 m event would decrease from 100 years to about 40 years.</t>
  </si>
  <si>
    <t>CSIRO, Marine &amp; Atmospher Res, Hobart, Tas 7001, Australia; Antarctic Climate &amp; Ecosyst Cooperat Res Ctr, Hobart, Tas 7001, Australia</t>
  </si>
  <si>
    <t>Commonwealth Scientific &amp; Industrial Research Organisation (CSIRO); Antarctic Climate &amp; Ecosystems Cooperative Research Centre (ACE CRC)</t>
  </si>
  <si>
    <t>Church, JA (corresponding author), CSIRO, Marine &amp; Atmospher Res, GPO Box 1538, Hobart, Tas 7001, Australia.</t>
  </si>
  <si>
    <t>john.church@csiro.au</t>
  </si>
  <si>
    <t>Jiao, Liqing/A-8821-2011; White, Neil/B-2077-2013; Church, John A/A-1541-2012; McInnes, Kathleen/A-7787-2012</t>
  </si>
  <si>
    <t>Church, John A/0000-0002-7037-8194; McInnes, Kathleen/0000-0002-1810-7215</t>
  </si>
  <si>
    <t>AUSTRALIAN BUREAU METEOROLOGY</t>
  </si>
  <si>
    <t>MELBOURNE</t>
  </si>
  <si>
    <t>GPO BOX 1289, MELBOURNE, VIC 3001, AUSTRALIA</t>
  </si>
  <si>
    <t>0004-9743</t>
  </si>
  <si>
    <t>AUST METEOROL MAG</t>
  </si>
  <si>
    <t>Aust. Meteorol. Mag.</t>
  </si>
  <si>
    <t>163CK</t>
  </si>
  <si>
    <t>WOS:000246136100001</t>
  </si>
  <si>
    <t>Wood, KR; Overland, JE</t>
  </si>
  <si>
    <t>Wood, Kevin R.; Overland, James E.</t>
  </si>
  <si>
    <t>Climate lessons from the first international polar year</t>
  </si>
  <si>
    <t>BULLETIN OF THE AMERICAN METEOROLOGICAL SOCIETY</t>
  </si>
  <si>
    <t>TRENDS</t>
  </si>
  <si>
    <t>A unique glimpse of the Arctic from a period before the present era of climate warming is found in the records of the first International Polar Year (IPY) of 1882-83. Inspired by the Austrian scientist and explorer Carl Weyprecht, the purpose of the IPY was to discover the fundamental laws governing global meteorological and geophysical phenomena. It was understood that new discoveries would depend upon a program of simultaneous observations that encompassed the polar regions. The collection and analysis of the first series of coordinated meteorological observations ever obtained in the Arctic was one of the principal objects of the IPY. The field program was successfully completed and a vast body of data was collected, but afterward it fell into obscurity with little analysis completed. We have analyzed for the first time the synchronous meteorological observations recorded during the first IPY. This analysis contributes to the goal of the upcoming fourth IPY scheduled for 2007-08: to understand the climate changes currently unfolding in the Arctic/Antarctic within the context of the past. We found that surface air temperature (SAT) and sea level pressure (SLP) observed during 1882-83 were within the limits of recent climatology, but with a slight skew toward colder temperatures, and showed a wide range of variability from place to place over the course of the year, which is a feature typical of the Arctic climate today. Monthly SAT, SLP, and associated phenological anomalies were regionally coherent and consistent with patterns of variability in the atmospheric circulation such as the North Atlantic Oscillation (NAO). Evidence of a strong NAO signature in the observed SAT anomalies during the first IPY highlights the impact of large-scale atmospheric circulation patterns on regional climate variability in the Arctic, both today and in the past.</t>
  </si>
  <si>
    <t>Univ Washington, Joint Inst Study Atmospher &amp; Ocean, Seattle, WA 98195 USA; NOAA, Pacific Marine Environm Lab, Seattle, WA 98115 USA</t>
  </si>
  <si>
    <t>University of Washington; University of Washington Seattle; National Oceanic Atmospheric Admin (NOAA) - USA</t>
  </si>
  <si>
    <t>Wood, KR (corresponding author), Univ Washington, Joint Inst Study Atmospher &amp; Ocean, Seattle, WA 98195 USA.</t>
  </si>
  <si>
    <t>kevin.r.wood@noaa.gov</t>
  </si>
  <si>
    <t>0003-0007</t>
  </si>
  <si>
    <t>1520-0477</t>
  </si>
  <si>
    <t>B AM METEOROL SOC</t>
  </si>
  <si>
    <t>Bull. Amer. Meteorol. Soc.</t>
  </si>
  <si>
    <t>10.1175/BAMS-87-12-1685</t>
  </si>
  <si>
    <t>124TN</t>
  </si>
  <si>
    <t>WOS:000243392900013</t>
  </si>
  <si>
    <t>Kirkwood, R; Lynch, M; Gales, N; Dann, P; Sumner, M</t>
  </si>
  <si>
    <t>Kirkwood, Roger; Lynch, Michael; Gales, Nick; Dann, Peter; Sumner, Michael</t>
  </si>
  <si>
    <t>At-sea movements and habitat use of adult male Australian fur seals (Arctocephalus pusillus doriferus)</t>
  </si>
  <si>
    <t>CANADIAN JOURNAL OF ZOOLOGY</t>
  </si>
  <si>
    <t>FORAGING BEHAVIOR; PUP PRODUCTION; NEW-ZEALAND; DIET; GAZELLA; MANAGEMENT; DISPERSAL; PREDATOR; FISHERY</t>
  </si>
  <si>
    <t>Foraging by adult male otariids, a demographic component that often interacts with commercial fisheries, are poorly known. To assess movement patterns and habitat use, nine adult male Australian fur seals (Arctocephalus pusillus doriferus Wood Jones, 1925) from Seal Rocks, in northern Bass Strait, southeastern Australia, were tracked for periods ranging from 66 to 223 d during 1999-2001. Mean +/- SD at-sea and on-land durations were 6.9 +/- 2.1 d (range 2.3-10.3 d, n = 9 seals) and 2.4 +/- 0.9 d (range 0.8-4.1 d), respectively. All seals foraged almost exclusively in continental shelf waters and mostly (65%-97% of time at sea) in water columns that were between 40 and 100 m deep. Six of nine seals tracked for &gt; 30 d spent 64%-98% of their time-at-sea foraging at distances &lt; 200 km from Seal Rocks, although the maximum distance achieved from the colony was 1208 km. The seals' foraging ranges overlapped with the ranges of operation of virtually all fin-fish fisheries in southeastern Australia, but fisheries overlap was low in the most frequented foraging area of central-western Bass Strait.</t>
  </si>
  <si>
    <t>Melbourne Zoo, Vet Dept, Parkville, Vic 3052, Australia; Australian Antarctic Div, Kingston, Tas 7050, Australia; Univ Tasmania, Dept Zool, Hobart, Tas 7001, Australia</t>
  </si>
  <si>
    <t>Kirkwood, R (corresponding author), Phillip Isl Nat Pk,POB 97, Cowes, Vic 3922, Australia.</t>
  </si>
  <si>
    <t>rkirkwood@penguins.org.au</t>
  </si>
  <si>
    <t>Sumner, Michael D/J-3478-2013</t>
  </si>
  <si>
    <t>Kirkwood, Roger/0000-0003-4221-4050; Sumner, Michael/0000-0002-2471-7511</t>
  </si>
  <si>
    <t>CANADIAN SCIENCE PUBLISHING</t>
  </si>
  <si>
    <t>65 AURIGA DR, SUITE 203, OTTAWA, ON K2E 7W6, CANADA</t>
  </si>
  <si>
    <t>1480-3283</t>
  </si>
  <si>
    <t>Can. J. Zool.</t>
  </si>
  <si>
    <t>10.1139/Z06-164</t>
  </si>
  <si>
    <t>140VD</t>
  </si>
  <si>
    <t>WOS:000244533900010</t>
  </si>
  <si>
    <t>Hourdin, F; Musat, I; Bony, S; Braconnot, P; Codron, F; Dufresne, JL; Fairhead, L; Filiberti, MA; Friedlingstein, P; Grandpeix, JY; Krinner, G; Levan, P; Li, ZX; Lott, F</t>
  </si>
  <si>
    <t>Hourdin, Frederic; Musat, Ionela; Bony, Sandrine; Braconnot, Pascale; Codron, Francis; Dufresne, Jean-Louis; Fairhead, Laurent; Filiberti, Marie-Angele; Friedlingstein, Pierre; Grandpeix, Jean-Yves; Krinner, Gerhard; LeVan, Phu; Li, Zhao-Xin; Lott, Francois</t>
  </si>
  <si>
    <t>The LMDZ4 general circulation model: climate performance and sensitivity to parametrized physics with emphasis on tropical convection</t>
  </si>
  <si>
    <t>CLIMATE DYNAMICS</t>
  </si>
  <si>
    <t>CUMULUS CONVECTION; GEOPOTENTIAL HEIGHT; ARCTIC OSCILLATION; ANTARCTIC CLIMATE; HEAT-FLUX; SURFACE; CLOUD; SIMULATION; ATMOSPHERE; ICE</t>
  </si>
  <si>
    <t>The LMDZ4 general circulation model is the atmospheric component of the IPSL-CM4 coupled model which has been used to perform climate change simulations for the 4th IPCC assessment report. The main aspects of the model climatology (forced by observed sea surface temperature) are documented here, as well as the major improvements with respect to the previous versions, which mainly come form the parametrization of tropical convection. A methodology is proposed to help analyse the sensitivity of the tropical Hadley-Walker circulation to the parametrization of cumulus convection and clouds. The tropical circulation is characterized using scalar potentials associated with the horizontal wind and horizontal transport of geopotential (the Laplacian of which is proportional to the total vertical momentum in the atmospheric column). The effect of parametrized physics is analysed in a regime sorted framework using the vertical velocity at 500 hPa as a proxy for large scale vertical motion. Compared to Tiedtke's convection scheme, used in previous versions, the Emanuel's scheme improves the representation of the Hadley-Walker circulation, with a relatively stronger and deeper large scale vertical ascent over tropical continents, and suppresses the marked patterns of concentrated rainfall over oceans. Thanks to the regime sorted analyses, these differences are attributed to intrinsic differences in the vertical distribution of convective heating, and to the lack of self-inhibition by precipitating downdraughts in Tiedtke's parametrization. Both the convection and cloud schemes are shown to control the relative importance of large scale convection over land and ocean, an important point for the behaviour of the coupled model.</t>
  </si>
  <si>
    <t>UPMC, CNRS, IPSL, LMD, F-75252 Paris 05, France; IPSL, LSCE, Saclay, France; Lab Glaciol &amp; Geophys Environm, Grenoble, France</t>
  </si>
  <si>
    <t>Universite Paris Cite; Sorbonne Universite; Centre National de la Recherche Scientifique (CNRS); Ecole des Ponts ParisTech; Universite Paris Cite; CEA; Centre National de la Recherche Scientifique (CNRS); Universite Paris Saclay; Communaute Universite Grenoble Alpes; Universite Grenoble Alpes (UGA)</t>
  </si>
  <si>
    <t>Hourdin, F (corresponding author), UPMC, CNRS, IPSL, LMD, Tr 45-55,3eme Et,B99, F-75252 Paris 05, France.</t>
  </si>
  <si>
    <t>hourdin@lmd.jussieu.fr</t>
  </si>
  <si>
    <t>Li, Laurent/X-3278-2019; Bony, Sandrine/AAG-5804-2019; Dufresne, Jean-Louis/I-5616-2015; Krinner, Gerhard/A-6450-2011; Codron, Francis/F-2719-2014; Krinner, Gerhard/AAB-8837-2022; Friedlingstein, Pierre/H-2700-2014</t>
  </si>
  <si>
    <t>Li, Laurent/0000-0002-3855-3976; Bony, Sandrine/0000-0002-4791-4438; Dufresne, Jean-Louis/0000-0003-4764-9600; Codron, Francis/0000-0001-7038-6189; Krinner, Gerhard/0000-0002-2959-5920; Friedlingstein, Pierre/0000-0003-3309-4739</t>
  </si>
  <si>
    <t>0930-7575</t>
  </si>
  <si>
    <t>1432-0894</t>
  </si>
  <si>
    <t>CLIM DYNAM</t>
  </si>
  <si>
    <t>Clim. Dyn.</t>
  </si>
  <si>
    <t>7-8</t>
  </si>
  <si>
    <t>10.1007/s00382-006-0158-0</t>
  </si>
  <si>
    <t>094SB</t>
  </si>
  <si>
    <t>WOS:000241258200007</t>
  </si>
  <si>
    <t>Whiteley, NM; Christiansen, JS; Egginton, S</t>
  </si>
  <si>
    <t>Whiteley, N. M.; Christiansen, J. S.; Egginton, S.</t>
  </si>
  <si>
    <t>Polar cod, Boreogadus saida (Gadidae), show an intermediate stress response between Antarctic and temperate fishes</t>
  </si>
  <si>
    <t>COMPARATIVE BIOCHEMISTRY AND PHYSIOLOGY A-MOLECULAR &amp; INTEGRATIVE PHYSIOLOGY</t>
  </si>
  <si>
    <t>catecholamines; cortisol; exercise; stress; temperature; fish; polar cod</t>
  </si>
  <si>
    <t>TROUT ONCORHYNCHUS-MYKISS; RAINBOW-TROUT; PAGOTHENIA-BORCHGREVINKI; CARDIOVASCULAR-RESPONSES; TREMATOMUS-BERNACCHII; NOTOTHENIOID FISHES; ADRENERGIC CONTROL; GADUS-MORHUA; ATLANTIC COD; EXERCISE</t>
  </si>
  <si>
    <t>To examine whether the attenuated stress response observed in Antarctic notothenioid fishes is a specialism for life in sub-zero waters, the polar cod, Boreogadus saida, and the temperate shorthorned sculpin, Myoxocephalus scorpius, were subjected to various stress treatments. Activity stress in both species had no effect on plasma catecholamine and cortisol levels, splenic mass, and on the haematological variables in B. saida. In contrast, heat stress caused a significant rise in circulating noradrenaline and adrenaline levels in B. saida, accompanied by a significant increase in haematocrit and haemoglobin concentrations, at constant plasma cortisol levels, red blood cell count and splenic mass. A concomitant rise in blood lactate concentrations indicated that heat-stressed B. saida were hypoxaemic. The capacity to synthesise catecholamines in B. saida was 38% of the value in M scorpius, but similar to the values for Antarctic notothenioids. The lack of any adrenergic response to activity stress suggests that dominance of cholinergic control of the cardiovascular system may not be restricted to Antarctic notothenioids. Rather, the stress response in B. saida appears to be intermediate between Antarctic and temperate teleosts, in keeping with their relatively recent occupation of cold Arctic waters. (c) 2006 Elsevier Inc. All rights reserved.</t>
  </si>
  <si>
    <t>Univ Wales, Sch Biol Sci, Bangor LL57 2UW, Gwynedd, Wales; Univ Tromso, Norwegian Coll Fishery Sci, N-9037 Tromso, Norway; Univ Birmingham, Dept Physiol, Birmingham B15 2TT, W Midlands, England</t>
  </si>
  <si>
    <t>Bangor University; UiT The Arctic University of Tromso; University of Birmingham</t>
  </si>
  <si>
    <t>Whiteley, NM (corresponding author), Univ Wales, Sch Biol Sci, Bangor LL57 2UW, Gwynedd, Wales.</t>
  </si>
  <si>
    <t>n.m.whiteley@bangor.ac.uk</t>
  </si>
  <si>
    <t>Egginton, Stuart/0000-0002-3084-9692</t>
  </si>
  <si>
    <t>1095-6433</t>
  </si>
  <si>
    <t>COMP BIOCHEM PHYS A</t>
  </si>
  <si>
    <t>Comp. Biochem. Physiol. A-Mol. Integr. Physiol.</t>
  </si>
  <si>
    <t>10.1016/j.cbpa.2006.08.023</t>
  </si>
  <si>
    <t>Biochemistry &amp; Molecular Biology; Physiology; Zoology</t>
  </si>
  <si>
    <t>115UK</t>
  </si>
  <si>
    <t>WOS:000242759100010</t>
  </si>
  <si>
    <t>Le Brocq, AM; Payne, AJ; Siegert, MJ</t>
  </si>
  <si>
    <t>Le Brocq, Anne M.; Payne, Antony J.; Siegert, Martin J.</t>
  </si>
  <si>
    <t>West Antarctic balance calculations: Impact of flux-routing algorithm, smoothing algorithm and topography</t>
  </si>
  <si>
    <t>COMPUTERS &amp; GEOSCIENCES</t>
  </si>
  <si>
    <t>balance flux; balance velocity; West Antarctic ice sheet; routing algorithm; smoothing filter</t>
  </si>
  <si>
    <t>PINE ISLAND GLACIER; MASS-BALANCE; ICE THICKNESS; FLOW; VELOCITIES; SYSTEM; MODEL</t>
  </si>
  <si>
    <t>Balance flux and velocity calculations are important in understanding the large-scale dynamics of ice masses and their state of balance. However the grid-based (finite difference) nature of the current algorithms means that there is a variety of ways in which the balance flux and velocity can be calculated. The flux-routing algorithm, grid orientation and grid size all have an impact on the balance calculations. Previous work has relied on the assumption that the ice flow direction is orthogonal to the surface contours, with the surface having been smoothed to incorporate a representation of the longitudinal stresses within the ice. This assumption is a simplification of the gravitational driving stress equation, which relates the driving stress to the gradient of the surface slope and the ice thickness. Further, the common representation of longitudinal stresses using a fixed size smoothing filter is a simplification of the theoretical treatment of longitudinal stresses by Kamb, B., Echelmeyer, K.A. [1986. Stress-gradient coupling in glacier flow: 1. longitudinal averaging of the influence of ice thickness and surface slope. Journal of Glaciology 32 (111), 267-298]. This study investigates the sensitivity of the balance calculations to these issues, using the West Antarctic Ice Sheet as a case study. Significant differences in both ice stream margins and values of ice flux within them result from the algorithm choice, gridorientation and gridsize. The inclusion of a theoretically appropriate smoothing approach improves the coherence of the pattern of ice flow. The incorporation of gravitational driving stress has a small effect in comparison to practical issues such as the grid orientation and size. As higher resolution datasets (less than 5 km) become available for many ice masses, there is a temptation to calculate the balance flux using the same algorithms on the finer grids. The results shown in this study suggest that the type of algorithm most commonly used is not suitable for these finer grids. The impact of the practical issues described here encourages caution in the use of grid-based balance distributions and values, especially when considering the state of balance of individual ice streams. (c) 2006 Elsevier Ltd. All rights reserved.</t>
  </si>
  <si>
    <t>Univ Bristol, Sch Geog Sci, Ctr Polar Observat &amp; Modelling, Bristol BS8 1SS, Avon, England</t>
  </si>
  <si>
    <t>Le Brocq, AM (corresponding author), Univ Bristol, Sch Geog Sci, Ctr Polar Observat &amp; Modelling, Bristol BS8 1SS, Avon, England.</t>
  </si>
  <si>
    <t>a.lebrocq@bristol.ac.uk</t>
  </si>
  <si>
    <t>0098-3004</t>
  </si>
  <si>
    <t>1873-7803</t>
  </si>
  <si>
    <t>COMPUT GEOSCI-UK</t>
  </si>
  <si>
    <t>Comput. Geosci.</t>
  </si>
  <si>
    <t>10.1016/j.cageo.2006.05.003</t>
  </si>
  <si>
    <t>Computer Science, Interdisciplinary Applications; Geosciences, Multidisciplinary</t>
  </si>
  <si>
    <t>Computer Science; Geology</t>
  </si>
  <si>
    <t>089CN</t>
  </si>
  <si>
    <t>WOS:000240857800021</t>
  </si>
  <si>
    <t>Bejder, L; Samuels, A; Whitehead, H; Gales, N; Mann, J; Connor, R; Heithaus, M; Watson-Capps, J; Flaherty, C; Krützen, M</t>
  </si>
  <si>
    <t>Bejder, Lars; Samuels, Amy; Whitehead, Hal; Gales, Nick; Mann, Janet; Connor, Richard; Heithaus, Mike; Watson-Capps, Jana; Flaherty, Cindy; Kruetzen, Michael</t>
  </si>
  <si>
    <t>Decline in relative abundance of bottlenose dolphins exposed to long-term disturbance</t>
  </si>
  <si>
    <t>CONSERVATION BIOLOGY</t>
  </si>
  <si>
    <t>cetacean; human disturbance; Tursiops sp.; whale; wildlife management; wildlife tourism</t>
  </si>
  <si>
    <t>WESTERN-AUSTRALIA; TURSIOPS-SP.; SHARK BAY; BEHAVIORAL-RESPONSES; NEW-ZEALAND; TOUR BOATS; PREDATION; HABITAT; RISK; CONSEQUENCES</t>
  </si>
  <si>
    <t>Studies evaluating effects of human activity on wildlife typically emphasize short-term behavioral responses from which it is difficult to infer biological significance or formulate plans to mitigate harmful impacts. Based on decades of detailed behavioral records, we evaluated long-term impacts of vessel activity on bottlenose dolphins (Tursiops sp.) in Shark Bay, Australia. We compared dolphin abundance within adjacent 36 kin 2 tourism and control sites, over three consecutive 4.5-year periods wherein research activity was relatively constant but tourism levels increased from zero, to one, to two dolphin-watching operators. A nonlinear logistic model demonstrated that there was no difference in dolphin abundance between periods with no tourism and periods in which one operator offered tours. As the number of tour operators increased to two, there was a significant average decline in dolphin abundance (14.9%; 95% CI = -20.8 to -8.23), approximating a decline of one per seven individuals. Concurrently, within the control site, the average increase in dolphin abundance was not significant (8-556; 95% CI = -4.0 to + 16.7). Given the substantially greater presence and proximity of tour vessels to dolphins relative to research vessels, tour-vessel activity contributed more to declining dolphin numbers within the tourism site than research vessels. Although this trend may not jeopardize the large, genetically diverse dolphin population of Shark Bay, the decline is unlikely to be sustainable for local dolphin tourism. A similar decline would be devastating for small, closed, resident, or endangered cetacean populations. The substantial effect of tour vessels on dolphin abundance in a region of low-level tourism calls into question the presumption that dolplyin-watching tourism is benign.</t>
  </si>
  <si>
    <t>Dalhousie Univ, Dept Biol, Halifax, NS B3H 4J1, Canada; Woods Hole Oceanog Inst, Dept Biol, Woods Hole, MA 02543 USA; Australian Antarctic Div, Hobart, Tas 7001, Australia; Georgetown Univ, Dept Biol, Washington, DC 20057 USA; Univ Massachusetts, Dept Biol, Dartmouth, MA 02747 USA; Florida Int Univ, Marine Biol Program, Miami, FL 33181 USA; Shark Bay Dolphin Res Project, Claremont, WA 6010, Australia; Univ Zurich, Anthropol Inst &amp; Museum, CH-8057 Zurich, Switzerland</t>
  </si>
  <si>
    <t>Dalhousie University; Woods Hole Oceanographic Institution; Australian Antarctic Division; Georgetown University; University of Massachusetts System; University Massachusetts Dartmouth; State University System of Florida; Florida International University; University of Zurich</t>
  </si>
  <si>
    <t>Bejder, L (corresponding author), Murdoch Univ, Ctr Fish &amp; Fisheries Res, Div Sci &amp; Engn, Murdoch, WA 6150, Australia.</t>
  </si>
  <si>
    <t>l.bejder@murdoch.edu.au</t>
  </si>
  <si>
    <t>Mann, Janet/L-2311-2019; Krutzen, Michael C/D-9550-2011; Heithaus, Michael/AAF-9914-2020; Bejder, Lars/D-1772-2017</t>
  </si>
  <si>
    <t>Heithaus, Michael/0000-0002-3219-1003; Krutzen, Michael/0000-0003-1055-5299; Bejder, Lars/0000-0001-8138-8606</t>
  </si>
  <si>
    <t>0888-8892</t>
  </si>
  <si>
    <t>CONSERV BIOL</t>
  </si>
  <si>
    <t>Conserv. Biol.</t>
  </si>
  <si>
    <t>10.1111/j.1523-1739.2006.00540.x</t>
  </si>
  <si>
    <t>Biodiversity Conservation; Ecology; Environmental Sciences</t>
  </si>
  <si>
    <t>115HD</t>
  </si>
  <si>
    <t>WOS:000242724500029</t>
  </si>
  <si>
    <t>Galton-Fenzi, BK; Scott, WD; Farrow, DE; Handsworth, R</t>
  </si>
  <si>
    <t>Galton-Fenzi, B. K.; Scott, W. D.; Farrow, D. E.; Handsworth, R.</t>
  </si>
  <si>
    <t>Revisiting the anomalous shelf water oscillation of Buckles Bay, Macquarie Island</t>
  </si>
  <si>
    <t>CONTINENTAL SHELF RESEARCH</t>
  </si>
  <si>
    <t>sea level; oscillations; resonance; frequencies; coastal; Seiches; wavelets; islands; southern ocean</t>
  </si>
  <si>
    <t>Historic observations of sea-level on Macquarie Island recorded an similar to 6 min oscillation with a perceived beat of similar to 3 h, interpreted as two counter-rotating edge waves of slightly different frequencies. Alternative evidence is presented here that the oscillations are consistent with the fundamental shelf period of Buckles Bay; an envelope characteristic of local coast and shelf features. New data from a shore-mounted tide gauge, analyzed using fourier and wavelet techniques, show an similar to 6.6 min phenomenon occurring in bursts every 1-4 h. A simple model shows that the fundamental resonant frequency may spread and comply with maximum and minimum coast and shelf features. (c) 2006 Elsevier Ltd. All rights reserved.</t>
  </si>
  <si>
    <t>Murdoch Univ, Sch Engn Sci, Murdoch, WA 6150, Australia; Murdoch Univ, Sch Engn Sci, Murdoch, WA 6150, Australia; Ctr Data, Australian Antarctic Div, Kingston, Tas, Australia</t>
  </si>
  <si>
    <t>Murdoch University; Murdoch University; Australian Antarctic Division</t>
  </si>
  <si>
    <t>Galton-Fenzi, BK (corresponding author), Murdoch Univ, Sch Engn Sci, Murdoch, WA 6150, Australia.</t>
  </si>
  <si>
    <t>bkgalton@utas.edu.au; B.Scott@murdoch.edu.au; D.Farrow@murdoch.edu.au; R.Handsworth@aad.gov.au</t>
  </si>
  <si>
    <t>Farrow, Duncan E/A-3010-2013; Farrow, Duncan/O-7856-2019</t>
  </si>
  <si>
    <t>Farrow, Duncan E/0000-0002-4716-7698; Farrow, Duncan/0000-0002-4716-7698; Galton-Fenzi, Benjamin Keith/0000-0003-1404-4103</t>
  </si>
  <si>
    <t>0278-4343</t>
  </si>
  <si>
    <t>1873-6955</t>
  </si>
  <si>
    <t>CONT SHELF RES</t>
  </si>
  <si>
    <t>Cont. Shelf Res.</t>
  </si>
  <si>
    <t>10.1016/j.csr.2006.07.010</t>
  </si>
  <si>
    <t>109PG</t>
  </si>
  <si>
    <t>WOS:000242320000004</t>
  </si>
  <si>
    <t>Ballent, S; Whatley, R</t>
  </si>
  <si>
    <t>Ballent, Sara; Whatley, Robin</t>
  </si>
  <si>
    <t>The Mesozoic ostracod genus Arculicythere Grekoff:: further evidence for the southern Gondwana seaway</t>
  </si>
  <si>
    <t>CRETACEOUS RESEARCH</t>
  </si>
  <si>
    <t>Gondwana; Marine Ostracoda; Gondwana seaway; endemic fauna; Early Cretaceous</t>
  </si>
  <si>
    <t>MIDDLE; ARGENTINA; MAJUNGAELLA; MADAGASCAR; OCEAN; BASIN</t>
  </si>
  <si>
    <t>This paper demonstrates that Arculicythere Grekoff is a widespread taxon in the uppermost Upper Jurassic and Lower Cretaceous of Gondwana. It occurs in Madagascar, India, Israel, South Africa, the Falklands Plateau, Argentina and Australia. The earliest record is from the Upper Tithonian of Madagascar but the most profuse occurrences are in the Albian, when the genus was very widespread around Gondwana. Its distribution seems to be associated with a major southern Gondwana seaway, and the genus provides additional proof of the existence of this corridor. Unlike another endemic gondwanine genus, Majungaella Grekoff, which ranged from earlier in the Jurassic but extended into the Neogene in the Antarctic, or Rostrocytheridea Dingle that survived into the Campanian of the Antarctic, Arculicythere seems to have become extinct in the Albian. (c) 2006 Elsevier Ltd. All rights reserved.</t>
  </si>
  <si>
    <t>Museo Ciencia Nat La Plata, Dept Palaeontol Invertebrados, RA-1900 La Plata, Argentina; Univ Wales, Inst Geog &amp; Earth Sci, Micropalaeontol Res Grp, Aberystwyth, Dyfed, Wales</t>
  </si>
  <si>
    <t>Aberystwyth University</t>
  </si>
  <si>
    <t>Ballent, S (corresponding author), Museo Ciencia Nat La Plata, Dept Palaeontol Invertebrados, Paseo Bosque SN, RA-1900 La Plata, Argentina.</t>
  </si>
  <si>
    <t>sballent@fcnym.unlp.edu.ar</t>
  </si>
  <si>
    <t>0195-6671</t>
  </si>
  <si>
    <t>CRETACEOUS RES</t>
  </si>
  <si>
    <t>Cretac. Res.</t>
  </si>
  <si>
    <t>10.1016/j.cretres.2006.01.004</t>
  </si>
  <si>
    <t>115DC</t>
  </si>
  <si>
    <t>WOS:000242714000002</t>
  </si>
  <si>
    <t>Bakker, DCE; Boyd, PW; Abraham, ER; Charette, MA; Gall, MP; Hall, JA; Law, CS; Nodder, SD; Safi, K; Singleton, DJ; Tanneberger, K; Trull, TW; Waite, AM; Watson, AJ; Zeldis, J</t>
  </si>
  <si>
    <t>Bakker, Dorothee C. E.; Boyd, Philip W.; Abraham, Edward R.; Charette, Matthew A.; Gall, Mark P.; Hall, Julie A.; Law, Cliff S.; Nodder, Scott D.; Safi, Karl; Singleton, Dick J.; Tanneberger, Kim; Trull, Thomas W.; Waite, Anya M.; Watson, Andrew J.; Zeldis, John</t>
  </si>
  <si>
    <t>Matching carbon pools and fluxes for the Southern Ocean Iron Release Experiment (SOIREE)</t>
  </si>
  <si>
    <t>iron enrichment; SOIREE; carbon budget; Lagrangian</t>
  </si>
  <si>
    <t>PARTICULATE ORGANIC-CARBON; ANTARCTIC CIRCUMPOLAR CURRENT; NET COMMUNITY PRODUCTION; ROSS SEA; PHYTOPLANKTON PROCESSES; BIOGENIC SILICA; EXPORT; FERTILIZATION; PRODUCTIVITY; ATLANTIC</t>
  </si>
  <si>
    <t>The Lagrangian Southern Ocean Iron Release Experiment (SOIREE) allowed study of a gradually evolving iron-mediated phytoplankton bloom in water labelled with the inert tracer sulfur hexafluoride, SF6. This article describes a pelagic carbon budget for the mixed layer in SOIREE and assesses the extent to which closure of the budget is achieved. Net community production (NCP) converted 837 mmol m(-2) of inorganic carbon to organic carbon in 12.0 d after the first iron addition. A large fraction (41%) of NCP remained as particulate organic carbon in the mixed layer of the iron-enriched patch, while 23% was lost by horizontal dispersion and 0-29% was exported. The closure of the carbon budget is hampered by the lack of measurements of dissolved organic carbon (DOC), by a major uncertainty in carbon export, and by use of empirical conversion factors in estimates of carbon biomass and metabolic rates. Lagrangian carbon-budget studies may be improved by direct measurement of all major carbon parameters and conversion factors. Carbon cycling in the SOIREE bloom resembled that in 'natural' algal blooms in the open Southern Ocean in some respects, but not in all. Daily NCP in the SOIREE bloom (70 mmol m(-2) d(-1)) was higher than in natural blooms, partly because other studies did not account for horizontal dispersion, were for longer periods or included less productive areas. The build-up of POC stock and carbon export as a fraction of NCP in SOIREE were in the lower range of observations elsewhere. (c) 2006 Elsevier Ltd. All rights reserved.</t>
  </si>
  <si>
    <t>Univ E Anglia, Sch Environm Sci, Norwich NR4 7TJ, Norfolk, England; Univ Otago, NIWA Ltd, Ctr Chem &amp; Phys Oceanog, Dept Chem, Dunedin, New Zealand; NIWA, Wellington, New Zealand; Woods Hole Oceanog Inst, Dept Marine Chem &amp; Geochem, Woods Hole, MA 02543 USA; NIWA, Christchurch, New Zealand; NIWA, Hamilton, New Zealand; Plymouth Marine Lab, Plymouth PL1 3DH, Devon, England; Univ Tasmania, Antarctic Cooperat Res Ctr, CSIRO Marine &amp; Atmospher Res, Hobart, Tas 7001, Australia; Univ Western Australia, Ctr Water Res, Nedlands, WA 6907, Australia</t>
  </si>
  <si>
    <t>University of East Anglia; University of Otago; National Institute of Water &amp; Atmospheric Research (NIWA) - New Zealand; Woods Hole Oceanographic Institution; National Institute of Water &amp; Atmospheric Research (NIWA) - New Zealand; National Institute of Water &amp; Atmospheric Research (NIWA) - New Zealand; Plymouth Marine Laboratory; University of Tasmania; Commonwealth Scientific &amp; Industrial Research Organisation (CSIRO); University of Western Australia</t>
  </si>
  <si>
    <t>Bakker, DCE (corresponding author), Univ E Anglia, Sch Environm Sci, Norwich NR4 7TJ, Norfolk, England.</t>
  </si>
  <si>
    <t>d.bakker@uea.ac.uk</t>
  </si>
  <si>
    <t>Abraham, Edward R/D-7422-2011; Trull, Tom W/B-7028-2014; Charette, Matthew/I-9495-2012; Waite, Anya/A-5492-2015; Boyd, Philip/J-7624-2014; Bakker, Dorothee/E-4951-2015</t>
  </si>
  <si>
    <t>Abraham, Edward R/0000-0003-4490-6704; Waite, Anya/0000-0003-2965-0296; Watson, Andrew/0000-0002-9654-8147; Boyd, Philip/0000-0001-7850-1911; Law, Cliff/0000-0002-7669-2475; Safi, Karl/0000-0002-7785-1909; Bakker, Dorothee/0000-0001-9234-5337</t>
  </si>
  <si>
    <t>10.1016/j.dsr.2006.08.014</t>
  </si>
  <si>
    <t>122VM</t>
  </si>
  <si>
    <t>WOS:000243255200006</t>
  </si>
  <si>
    <t>Hamilton, LJ</t>
  </si>
  <si>
    <t>Hamilton, L. J.</t>
  </si>
  <si>
    <t>Structure of the Subtropical Front in the Tasman Sea</t>
  </si>
  <si>
    <t>Antarctic Intermediate Water; central water; East Australian Current; ocean currents; subantarctic water; subtropical convergence; Subtropical Front; Tasman Sea; water mass</t>
  </si>
  <si>
    <t>SOUTHERN NEW-ZEALAND; CONVERGENCE ZONE; CORAL SEAS; VARIABILITY; OCEANOGRAPHY; TRANSPORT; WATER</t>
  </si>
  <si>
    <t>The structure of the Subtropical Front (STF) in the southwest Pacific is established via a practical separation observed between the thermohaline properties of the subtropical and subantarctic waters (SAWs) converging at the STF. Previous examinations have been unable to separate waters in and about the STF zone, and could not identify the actual frontal interface of the STF, leaving its structure and properties largely unresolved. Consequently, other fronts in the area have been confused with the STF or misidentified. Away from the land boundaries of Australia and New Zealand, the STF appears as a well-defined zonal trending band, in which subtropical and SAWs over-ride, intrude, and interleave. The zone is bounded by quasi-parallel fronts, each associated with near definitive surface salinity values. The shallower northern front marks the equatorwards limits of surface SAW in the water column, and the deeper southern front represents the polewards limits of subsurface subtropical water (Tasman Sea Central Water). Empirical prescriptions used to approximately locate the STF over the last 70 years are explained and reconciled on comparison with the double frontal structure. Antarctic Intermediate Water (AAIW) at the STF also exhibits a double frontal structure, inside of which is maintained a pool of AAIW with distinctive properties. The AAIW frontal system forms a leaky barrier to northward movement of Southern Ocean AAIW in the eastern Tasman Sea. (c) 2006 Elsevier Ltd. All rights reserved.</t>
  </si>
  <si>
    <t>DSTO, Pyrmont, NSW 2009, Australia</t>
  </si>
  <si>
    <t>Defence Science &amp; Technology</t>
  </si>
  <si>
    <t>Hamilton, LJ (corresponding author), DSTO, POB 44, Pyrmont, NSW 2009, Australia.</t>
  </si>
  <si>
    <t>les.hamilton@dsto.defence.gov.au</t>
  </si>
  <si>
    <t>HAMILTON, Les/A-6044-2008</t>
  </si>
  <si>
    <t>10.1016/j.dsr.2006.08.013</t>
  </si>
  <si>
    <t>WOS:000243255200009</t>
  </si>
  <si>
    <t>Lu, P</t>
  </si>
  <si>
    <t>Lu, Peng</t>
  </si>
  <si>
    <t>The statistical kinematic relationship of iceberg drift with atmospheric and oceanic conditions in the Antarctic Ocean</t>
  </si>
  <si>
    <t>DYNAMICS OF CONTINUOUS DISCRETE AND IMPULSIVE SYSTEMS-SERIES B-APPLICATIONS &amp; ALGORITHMS</t>
  </si>
  <si>
    <t>International Conference on Complex Systems and Applications</t>
  </si>
  <si>
    <t>JUN 16-18, 2006</t>
  </si>
  <si>
    <t>Huhhot, PEOPLES R CHINA</t>
  </si>
  <si>
    <t>WINDS</t>
  </si>
  <si>
    <t>Based on iceberg drift data obtained during the 19th Chinese National Antarctic Research Expedition, combined with synchronously collected wind and current velocity data, a kinematic relationship is developed as a multiple linear regression. The iceberg drift velocities calculated through this relationship show to be reliable compared with measured velocities. Comparison with an iceberg drift model in Arctic shows the similarity of influences of wind and current on iceberg in the two regions. And another comparison with sea ice drift in the Bohai Sea illustrate that wind plays a dominate role in sea ice drift but current is significant in iceberg drift.</t>
  </si>
  <si>
    <t>Dalian Univ Technol, State Key Lab Coastal &amp; Offshore Engn, Dalian 116024, Peoples R China</t>
  </si>
  <si>
    <t>Dalian University of Technology</t>
  </si>
  <si>
    <t>Lu, P (corresponding author), Dalian Univ Technol, State Key Lab Coastal &amp; Offshore Engn, Dalian 116024, Peoples R China.</t>
  </si>
  <si>
    <t>xioshui@dl.cn</t>
  </si>
  <si>
    <t>Lu, Peng/HNR-4786-2023</t>
  </si>
  <si>
    <t>WATAM PRESS</t>
  </si>
  <si>
    <t>WATERLOO</t>
  </si>
  <si>
    <t>C/O DCDIS JOURNAL, 317 KAREN PLACE, WATERLOO, ONTARIO N2L 6K8, CANADA</t>
  </si>
  <si>
    <t>1492-8760</t>
  </si>
  <si>
    <t>DYNAM CONT DIS SER B</t>
  </si>
  <si>
    <t>Dyn. Contin. Discret. Impuls. Syst. Ser. B-Appl. Algorithms</t>
  </si>
  <si>
    <t>Mathematics, Applied</t>
  </si>
  <si>
    <t>Mathematics</t>
  </si>
  <si>
    <t>148GD</t>
  </si>
  <si>
    <t>WOS:000245061700032</t>
  </si>
  <si>
    <t>Austin, D; Bowen, WD; McMillan, JI; Iverson, SJ</t>
  </si>
  <si>
    <t>Austin, Deborah; Bowen, W. Don; McMillan, Jim I.; Iverson, Sara J.</t>
  </si>
  <si>
    <t>Linking movement, diving, and habitat to foraging success in a large marine predator</t>
  </si>
  <si>
    <t>ECOLOGY</t>
  </si>
  <si>
    <t>bathymetry; feeding probability; gray seals; Halichoerus grypus; Northwest Atlantic; satellite tracking; stomach; temperature telemetry; wildlife telemetry</t>
  </si>
  <si>
    <t>SEALS HALICHOERUS-GRYPUS; NORTHERN ELEPHANT SEALS; ANTARCTIC FUR SEALS; SEX-DIFFERENCES; KING PENGUINS; SPATIAL SCALE; TEMPERATURE TELEMETRY; SEARCHING BEHAVIOR; TEMPORAL SCALES; DIVE PROFILES</t>
  </si>
  <si>
    <t>Establishing where and when predators forage is essential to understanding trophic interactions, yet foraging behavior remains poorly understood in large marine carnivores. We investigated the factors leading to foraging success in gray seals (Halichoerus grypus) in the Northwest Atlantic in the first study to use simultaneous deployments of satellite transmitters, time depth recorders, and stomach-temperature loggers on a free-ranging marine mammal. Thirty-two seals were each fitted with the three types of instrumentation; however, complete records from all three instruments were obtained from only 13 individuals, underscoring the difficulty of such a multi-instrument approach. Our goal was to determine the characteristics of diving, habitat, and movement that predict feeding. We linked diving behavior to foraging success at two temporal scales: trips ( days) and bouts ( hours) to test models of optimal diving, which indicate that feeding can be predicted by time spent at the bottom of a dive. Using an information-theoretic approach, a Generalized Linear Mixed Model with trip duration and accumulated bottom time per day best explained the number of feeding events per trip, whereas the best predictor of the number of feeding events per bout was accumulated bottom time. We then tested whether characteristics of movement were predictive of feeding. Significant predictors of the number of feeding events per trip were angular variance (i.e., path tortuosity) and distance traveled per day. Finally, we integrated measures of diving, movement, and habitat at four temporal scales to determine overall predictors of feeding. At the 3-h scale, mean bottom time and distance traveled were the most important predictors of feeding frequency, whereas at the 6-h and 24-h time scales, distance traveled alone was most important. Bathymetry was the most significant predictor of feeding at the 12-h interval, with feeding more likely to occur at deeper depths. Our findings indicate that several factors predict feeding in gray seals, but predictor variables differ across temporal scales such that environmental variation becomes important at some scales and not others. Overall, our results illustrate the value of simultaneously recording and integrating multiple types of information to better understand the circumstances leading to foraging success.</t>
  </si>
  <si>
    <t>Dalhousie Univ, Dept Biol, Halifax, NS B3H 4J1, Canada; Bedford Inst Oceanog, Dept Fisheries &amp; Oceans, Populat Biol Div, Dartmouth, NS B2Y 4A2, Canada</t>
  </si>
  <si>
    <t>Dalhousie University; Fisheries &amp; Oceans Canada; Bedford Institute of Oceanography</t>
  </si>
  <si>
    <t>Austin, D (corresponding author), Univ Calif Santa Cruz, Dept Ecol &amp; Evolutionary Biol, Long Marine Lab, Santa Cruz, CA 95060 USA.</t>
  </si>
  <si>
    <t>austin@biology.ucsc.edu</t>
  </si>
  <si>
    <t>Bowen, William/AAE-7204-2022; Bowen, William D/D-2758-2012</t>
  </si>
  <si>
    <t>Bowen, William/0000-0001-8334-5677; Iverson, Sara/0000-0003-2842-4094</t>
  </si>
  <si>
    <t>0012-9658</t>
  </si>
  <si>
    <t>1939-9170</t>
  </si>
  <si>
    <t>10.1890/0012-9658(2006)87[3095:LMDAHT]2.0.CO;2</t>
  </si>
  <si>
    <t>120OL</t>
  </si>
  <si>
    <t>WOS:000243094300017</t>
  </si>
  <si>
    <t>Francis, MP</t>
  </si>
  <si>
    <t>Francis, Malcolm P.</t>
  </si>
  <si>
    <t>Morphometric minefields - towards a measurement standard for chondrichthyan fishes</t>
  </si>
  <si>
    <t>ENVIRONMENTAL BIOLOGY OF FISHES</t>
  </si>
  <si>
    <t>measurement; chondrichthyans; sharks; rays; skates; chimaeras</t>
  </si>
  <si>
    <t>WESTERN NORTH-ATLANTIC; ISURUS-OXYRINCHUS RAFINESQUE; PROTECTIVE GILL NETS; SHORTFIN MAKO; EMBRYONIC-DEVELOPMENT; CALLORHINCHUS-MILII; PRIONACE-GLAUCA; PACIFIC-OCEAN; SHARKS CAUGHT; SOUTH-AFRICA</t>
  </si>
  <si>
    <t>Size measurements are crucial for studies on the growth, maturation, maximum size, and population structure of cartilaginous fishes. However, researchers use a variety of measurement techniques even when working on the same species. Accurate comparison of results among studies is only possible if the measurement technique used is adequately defined and, if different techniques are used, a conversion equation can be derived. These conditions have not always been met, leading to invalid comparisons and incorrect conclusions. This paper reviews methods used for measuring chondrichthyans, and summarises the variety of constraints that influence the choice of a measurement technique. Estimates of the variability present in some measurement techniques are derived for shortfin mako shark, Isurus oxyrinchus, porbeagle shark, Lamna nasus, blue shark, Prionace glauca, Antarctic thorny skate, Amblyraja georgiana, and Pacific electric ray, Torpedo californica. Total length measured with the tail in the natural position (sharks) and disc widths (batoids) have higher variability than other methods, and are not recommended. Instead, the longest longitudinal axis should be measured where possible and practical; i.e., flexed total length for sharks, total length for batoids (excluding suborder Myliobatoidei), pelvic length for batoids of the suborder Myliobatoidei, and chimaera length (snout to posterior end of supracaudal fin) for chimaeroids (except for Callorhinchus, for which fork length should be measured from the anterior edge of the snout protuberance). Straight-line measurements are preferred to measurements over the curve of the body. Importantly, measurement methods must be clearly defined, giving information on the anterior reference point, the posterior reference point, and how the measurement was made between these two. Measurements using at least two different methods are recommended on at least a subsample of the fish in order to develop conversion regression relationships.</t>
  </si>
  <si>
    <t>Natl Inst Water &amp; Atmospher Res Ltd, Inshore &amp; Pelag Fishes, Wellington 6000, New Zealand</t>
  </si>
  <si>
    <t>National Institute of Water &amp; Atmospheric Research (NIWA) - New Zealand</t>
  </si>
  <si>
    <t>Francis, MP (corresponding author), Natl Inst Water &amp; Atmospher Res Ltd, Inshore &amp; Pelag Fishes, 301 Evans Bay Parade,Greta Point,Private Bag 1490, Wellington 6000, New Zealand.</t>
  </si>
  <si>
    <t>m.francis@niwa.co.nz</t>
  </si>
  <si>
    <t>0378-1909</t>
  </si>
  <si>
    <t>ENVIRON BIOL FISH</t>
  </si>
  <si>
    <t>Environ. Biol. Fishes</t>
  </si>
  <si>
    <t>10.1007/s10641-006-9109-1</t>
  </si>
  <si>
    <t>107BS</t>
  </si>
  <si>
    <t>WOS:000242146300018</t>
  </si>
  <si>
    <t>Gentile, G; Giuliano, L; D'Auria, G; Smedile, F; Azzaro, M; De Domenico, M; Yakimov, MM</t>
  </si>
  <si>
    <t>Gentile, Gabriella; Giuliano, Laura; D'Auria, Giuseppe; Smedile, Francesco; Azzaro, Maurizio; De Domenico, Maria; Yakimov, Michail M.</t>
  </si>
  <si>
    <t>Study of bacterial communities in Antarctic coastal waters by a combination of 16S rRNA and 16S rDNA sequencing</t>
  </si>
  <si>
    <t>MICROBIAL-POPULATIONS; GEN. NOV.; MARINE BACTERIUM; CLONE LIBRARIES; ACTIVE MEMBERS; PACK ICE; DIVERSITY; DNA; SEA; IDENTIFICATION</t>
  </si>
  <si>
    <t>An ecological study on distribution of Antarctic bacterial communities was determined by 16S-based phylogenetic analyses of clone libraries derived from RNA and DNA extracted from two different marine areas and compared between each other. Superficial seawater samples were collected from four stations in Ross Sea, three of them located in Rod Bay and one in Evans Cove; for each station two clone libraries (16S rDNA and 16S rRNA) were prepared and evident divergences between DNA and RNA libraries of each site were obtained. Of all phylotypes 93.6% were found in RNA libraries; in contrast, only 31 phylotypes (70.5%) were retrieved from total microbial community (DNA libraries). DNA and RNA sequences related to gamma-Proteobacteria and Bacteroidetes groups, typical for Antarctic sea-ice bacterial communities, were detected in analysed sites. 16S rDNA and rRNA libraries derived from the two different areas were enriched by picophytoplanktonic 16S sequences of plastid and mitochondrion origins, reflecting that the algal blooms occurred during sampling (Antarctic summer 2003). The finding in Rod Bay libraries of high percentage of DNA clones apparently affiliated with beta-Proteobacteria typical for activated sludges and well water could be explained by the presence of a sewage depuration system at this site. Obtained results clearly demonstrate that combination of 16S rDNA and 16S rRNA gene sequencing is preferred approach to have a more reliable vision on the composition of microbial communities.</t>
  </si>
  <si>
    <t>CNR, Inst Coastal Marine Environm, IAMC, I-98122 Messina, Italy; Univ Messina, Dept Anim Biol &amp; Marine Ecol, I-98166 Messina, Italy; Univ Miguel Hernandez, Div Microbiol, Alacant 03550, Spain; Univ Miguel Hernandez, Evolutionary Genom Grp, Alacant 03550, Spain</t>
  </si>
  <si>
    <t>Consiglio Nazionale delle Ricerche (CNR); L'Istituto per l'Ambiente Marino Costiero (IAMC-CNR); University of Messina; Universidad Miguel Hernandez de Elche; Universidad Miguel Hernandez de Elche</t>
  </si>
  <si>
    <t>Gentile, G (corresponding author), CNR, Inst Coastal Marine Environm, IAMC, Spianata S Raineri 86, I-98122 Messina, Italy.</t>
  </si>
  <si>
    <t>gabriella.gentile@iamc.cnr.it</t>
  </si>
  <si>
    <t>azzaro, Maurizio/AAE-6784-2019; D'Auria, Giuseppe/E-6583-2010; smedile, francesco/Q-1271-2018; azzaro, maurizio/A-9559-2017; Giuliano, Laura/P-2204-2019; smedile, francesco/K-6503-2019; Yakimov, Michail/H-1829-2016</t>
  </si>
  <si>
    <t>azzaro, Maurizio/0000-0001-7885-2340; D'Auria, Giuseppe/0000-0003-0672-2541; azzaro, maurizio/0000-0001-7885-2340; smedile, francesco/0000-0002-8385-564X; Yakimov, Michail/0000-0003-1418-363X</t>
  </si>
  <si>
    <t>10.1111/j.1462-2920.2006.01097.x</t>
  </si>
  <si>
    <t>104IY</t>
  </si>
  <si>
    <t>WOS:000241953300011</t>
  </si>
  <si>
    <t>Papa, R; Glagla, S; Danchin, A; Schweder, T; Marino, G; Duilio, A</t>
  </si>
  <si>
    <t>Papa, Rosanna; Glagla, Susanne; Danchin, Antoine; Schweder, Thomas; Marino, Gennaro; Duilio, Angela</t>
  </si>
  <si>
    <t>Proteomic identification of a two-component regulatory system in Pseudoalteromonas haloplanktis TAC125</t>
  </si>
  <si>
    <t>EXTREMOPHILES</t>
  </si>
  <si>
    <t>Psychrophiles; Pseudoalteromonas haloplanktis TAC125; carbon source response; two-component regulatory system; L-malate</t>
  </si>
  <si>
    <t>TRANSCRIPTIONAL REGULATION; CORYNEBACTERIUM-GLUTAMICUM; METABOLISM; EXPRESSION; BACTERIUM; PROMOTERS; EVOLUTION; CLONING; GENES</t>
  </si>
  <si>
    <t>The capability of microorganisms to utilize different carbohydrates as energy source reflects the availability of these substrates in their habitat. Investigation of the proteins involved in carbohydrate usage, in parallel with analysis of their expression, is then likely to provide information on the interaction between microorganisms and their ecosystem. We analysed the growth behaviour of the marine Antarctic bacterium Pseudoal-teromonas haloplanktis TAC125 in the presence and in the absence of different carbon source. A marked increase in the optical density was detected when L-malate was added to the growth medium. Bacterial proteins differently expressed in the presence of L-malate were identified by proteomic profiling experiments. On the basis of their relative increase, six proteins were selected for further analyses. Among these, the expression of a putative outer membrane porin was demonstrated to be heavily induced by L-malate. The presence of a functionally active two-component regulatory system very likely controlled by L-malate was found in the upstream region of the porin gene. A non functional genomic porin mutant was then constructed showing a direct involvement of the protein in the uptake of L-malate. To the best of our knowledge, the occurrence of such a regulatory system has never been reported in Pseudo-alteromonads so far and might constitute a key step in the development of an effective inducible cold expression system.</t>
  </si>
  <si>
    <t>Univ Naples Federico II, Dept Organ Chem &amp; Biochem, Naples, Italy; Univ Erlangen Nurnberg, Inst Microbiol, D-8520 Erlangen, Germany; Inst Marine Biotechnol, Greifswald, Germany; Inst Pasteur, Paris 15, France; Univ Naples Federico II, Sch Biotechnol Sci, Naples, Italy; Dipartimento Chim Organ &amp; Biochim, I-80126 Naples, Italy</t>
  </si>
  <si>
    <t>University of Naples Federico II; University of Erlangen Nuremberg; Le Reseau International des Instituts Pasteur (RIIP); Universite Paris Cite; Institut Pasteur Paris; University of Naples Federico II</t>
  </si>
  <si>
    <t>Duilio, A (corresponding author), Univ Naples Federico II, Dept Organ Chem &amp; Biochem, Naples, Italy.</t>
  </si>
  <si>
    <t>anduilio@unina.it</t>
  </si>
  <si>
    <t>Schweder, Thomas/GQB-0990-2022</t>
  </si>
  <si>
    <t>Schweder, Thomas/0000-0002-7213-3596; DUILIO, Angela/0000-0002-6833-1303; Danchin, Antoine/0000-0002-6350-5001</t>
  </si>
  <si>
    <t>SPRINGER JAPAN KK</t>
  </si>
  <si>
    <t>SHIROYAMA TRUST TOWER 5F, 4-3-1 TORANOMON, MINATO-KU, TOKYO, 105-6005, JAPAN</t>
  </si>
  <si>
    <t>1431-0651</t>
  </si>
  <si>
    <t>1433-4909</t>
  </si>
  <si>
    <t>Extremophiles</t>
  </si>
  <si>
    <t>10.1007/s00792-006-0525-0</t>
  </si>
  <si>
    <t>Biochemistry &amp; Molecular Biology; Microbiology</t>
  </si>
  <si>
    <t>106VN</t>
  </si>
  <si>
    <t>WOS:000242130200001</t>
  </si>
  <si>
    <t>Coker, JA; Brenchley, JE</t>
  </si>
  <si>
    <t>Coker, James A.; Brenchley, Jean E.</t>
  </si>
  <si>
    <t>Protein engineering of a cold-active β-galactosidase from Arthrobacter sp SB to increase lactose hydrolysis reveals new sites affecting low temperature activity</t>
  </si>
  <si>
    <t>psychrophile; family 2 beta-galactosidase; mutagenesis; protein engineering; cold-adaptation; kinetics</t>
  </si>
  <si>
    <t>ESCHERICHIA-COLI; STRUCTURAL BASIS; ANTARCTIC BACTERIUM; RANDOM MUTAGENESIS; MOLECULAR-BASIS; ADAPTATION; PURIFICATION; SEQUENCE; THERMOSTABILITY; SUBTILISIN</t>
  </si>
  <si>
    <t>We examined variants of an especially cold-active beta-galactosidase (BgaS) to better understand features affecting enzyme activity at temperature extremes. We targeted locations corresponding to a region in the LacZ enzyme previously shown to increase activity and decrease thermostability. Changes in this region of BgaS consistently caused the elimination or reduction of activity. A gene (bgaS3) encoding a loss of function variant was subjected to random mutagenesis to restore activity and discover potential interactions important in cold activity. Gene sequences from the resulting library indicated that only two amino acid alterations, E229D and V405A, were required to restore activity. Genes with combinations of these mutations were constructed and their enzymes purified. Enzymes with the E229D/V405A/G803D alterations (BgaS6), or E229D/V405A (BgaS7) had similar thermal optima and thermostabilities as BgaS. BgaS7, however, showed a 2.5-fold increase in catalytic activity at 15 degrees C and hydrolyzed 80% of lactose in skim milk in less than half the time of BgaS at 2.5 degrees C. Computer-generated models predicted that the substitutions at positions 229 and 405 yielded fewer contacts at the enzyme's activating interface. Results from regional saturation mutagenesis supported this hypothesis and suggested that not easily predicted, subtle, cooperative intramolecular interactions contributed to thermal adaptation.</t>
  </si>
  <si>
    <t>Penn State Univ, Dept Biochem &amp; Mol Biol, University Pk, PA 16802 USA; Univ Maryland, Ctr Marine Biotechnol, Baltimore, MD 21202 USA</t>
  </si>
  <si>
    <t>Pennsylvania Commonwealth System of Higher Education (PCSHE); Pennsylvania State University; Pennsylvania State University - University Park; University System of Maryland; University of Maryland Baltimore</t>
  </si>
  <si>
    <t>Coker, JA (corresponding author), Penn State Univ, Dept Biochem &amp; Mol Biol, University Pk, PA 16802 USA.</t>
  </si>
  <si>
    <t>coker@umbi.umd.edu</t>
  </si>
  <si>
    <t>Coker, James/0000-0002-1935-5413</t>
  </si>
  <si>
    <t>SPRINGER TOKYO</t>
  </si>
  <si>
    <t>3-3-13, HONGO, BUNKYO-KU, TOKYO, 113-0033, JAPAN</t>
  </si>
  <si>
    <t>10.1007/s00792-006-0526-z</t>
  </si>
  <si>
    <t>WOS:000242130200004</t>
  </si>
  <si>
    <t>Pucciarelli, S; Parker, SK; Detrich, HW; Melki, R</t>
  </si>
  <si>
    <t>Pucciarelli, Sandra; Parker, Sandra K.; Detrich, H. William, III; Melki, Ronald</t>
  </si>
  <si>
    <t>Characterization of the cytoplasmic chaperonin containing TCP-1 from the Antarctic fish Notothenia coriiceps</t>
  </si>
  <si>
    <t>protein folding; chaperonin; CCT; Cofactor A; tubulin; cpn60; Antarctic fish</t>
  </si>
  <si>
    <t>COLD-ADAPTATION; EUKARYOTIC CHAPERONIN; CRYSTAL-STRUCTURE; SWISS-MODEL; PROTEIN; CCT; EXPRESSION; COMPLEX; MICROTUBULES; PREFOLDIN</t>
  </si>
  <si>
    <t>The cytoplasmic chaperonin containing TCP-1 (CCT) plays a critically important role in the folding and biogenesis of many cytoskeletal proteins, including tubulin and actin. For marine ectotherms, the chronically cold Southern Ocean (-2 to +2 degrees C) poses energetic challenges to protein folding, both at the level of substrate proteins and with respect to the chaperonin/chaperone folding system. Here we report the partial functional and structural characterization of CCT from an Antarctic notothenioid fish, Notothenia coriiceps. We find that the mechanism of folding by the Antarctic. sh CCT differed from that of mammalian CCT: (1) the former complex was able to bind denatured beta-tubulin but (2) when reconstituted with rabbit Cofactor A, failed to release the protein to yield the tubulin/cofactor intermediate. Moreover, the amino acid sequences of the N. coriiceps CCT beta and theta chains contained residue substitutions in the equatorial, apical, and intermediate domains that would be expected to increase the flexibility of the subunits, thus facilitating function of the chaperonin in an energy poor environment. Our work contributes to the growing realization that protein function in cold-adapted organisms reflects a delicate balance between the necessity of structural flexibility for catalytic activity and the concomitant hazard of cold-induced denaturation.</t>
  </si>
  <si>
    <t>Univ Camerino, Dipartimento Biol Mol Cellulare &amp; Anim, I-62032 Camerino, Italy; Northeastern Univ, Dept Biol, Boston, MA 02115 USA; CNRS, Lab Enzymol &amp; Biochim Struct, F-91198 Gif Sur Yvette, France</t>
  </si>
  <si>
    <t>University of Camerino; Northeastern University; Universite Paris Saclay; Centre National de la Recherche Scientifique (CNRS)</t>
  </si>
  <si>
    <t>Pucciarelli, S (corresponding author), Univ Camerino, Dipartimento Biol Mol Cellulare &amp; Anim, I-62032 Camerino, Italy.</t>
  </si>
  <si>
    <t>sandra.pucciarelli@unicam.it</t>
  </si>
  <si>
    <t>Pucciarelli, Sandra/0000-0003-4178-2689</t>
  </si>
  <si>
    <t>10.1007/s00792-006-0528-x</t>
  </si>
  <si>
    <t>WOS:000242130200007</t>
  </si>
  <si>
    <t>Edwards, R; Sedwick, P; Morgan, V; Boutron, C</t>
  </si>
  <si>
    <t>Edwards, Ross; Sedwick, Peter; Morgan, Vin; Boutron, Claude</t>
  </si>
  <si>
    <t>Iron in ice cores from Law Dome: A record of atmospheric iron deposition for maritime East Antarctica during the Holocene and Last Glacial Maximum</t>
  </si>
  <si>
    <t>atmospheric iron deposition; Antarctica; Southern Ocean; Last Glacial Maximum; biogeosciences : biogeochemical cycles, processes,and modeling; atmospheric composition and structure : biosphere/atmosphere interactions; cryosphere : clathrate</t>
  </si>
  <si>
    <t>SOUTHERN-OCEAN; AEOLIAN DUST; TRACE-METALS; CO2; CLIMATE; SNOW; PRODUCTIVITY; VOSTOK; IMPACT; PROVENANCE</t>
  </si>
  <si>
    <t>[ 1] Total dissolvable iron (TDFe) was measured in sections of ice cores recovered from Law Dome on the coast of Wilkes Land, East Antarctica. These samples include ice dating from the Last Glacial Maximum (LGM), the Last Deglaciation, and the early and mid Holocene as well as samples from the Anthropocene that have been dated with seasonal to annual resolution. Combining our TDFe concentration data with estimates of the ice accumulation rate, we estimate the atmospheric iron deposition for Law Dome and the adjacent Southern Ocean during these periods. Our results indicate that the atmospheric iron deposition flux to this region during the LGM (similar to 8 mu mol Fe m(-2) yr(-1)) was an order of magnitude higher than the average Holocene deposition flux (similar to 0.8 mu mol Fe m(-2) yr(-1)). This Holocene flux estimate is significantly higher than recent estimates of atmospheric iron deposition based on the analysis of iron in samples of the Dome C EPICA ice core, implying that there are significant meridional gradients in eolian iron flux to the Antarctic region. Our data also suggest that there have been significant variations in atmospheric iron deposition to Law Dome and adjacent ocean waters over seasonal to decadal timescales during the past century. Analysis of ice samples dating from calendar years 1927 to 1928 indicates an anomalously high flux of TDFe to the Law Dome region, amounting to around half the maximum LGM flux, possibly as a result of severe drought conditions on the Australian continent. Given that chronic iron deficiency is thought to limit phytoplankton production in much of the ocean around Antarctica, such large secular variations in atmospheric iron supply are likely to have had profound impacts on year-to-year primary production and ecosystem structure in Antarctic waters.</t>
  </si>
  <si>
    <t>Univ Nevada, Desert Res Inst, Reno, NV 89512 USA; Bermuda Biol Stn Res, Ferry Reach GE01, St Georges, Bermuda; Univ Tasmania, Inst Antarctic &amp; So Ocean Studies, Hobart, Tas 7001, Australia; Antarctic Climate &amp; Ecosyst Cooperat Res Ctr, Hobart, Tas 7001, Australia; Australian Antarctic Div, Kingston, Tas, Australia; CNRS, Lab Glaciol &amp; Geophys Environm, F-38402 St Martin Dheres, France</t>
  </si>
  <si>
    <t>Nevada System of Higher Education (NSHE); Desert Research Institute NSHE; University of Nevada Reno; University of Tasmania; Antarctic Climate &amp; Ecosystems Cooperative Research Centre (ACE CRC); Australian Antarctic Division; Centre National de la Recherche Scientifique (CNRS)</t>
  </si>
  <si>
    <t>Edwards, R (corresponding author), Univ Nevada, Desert Res Inst, 2215 Raggio Pkwy, Reno, NV 89512 USA.</t>
  </si>
  <si>
    <t>redwards@dri.edu</t>
  </si>
  <si>
    <t>; Edwards, Ross/B-1433-2013</t>
  </si>
  <si>
    <t>Sedwick, Peter/0000-0003-0663-8323; Edwards, Ross/0000-0002-9233-8775</t>
  </si>
  <si>
    <t>Q12Q01</t>
  </si>
  <si>
    <t>10.1029/2006GC001307</t>
  </si>
  <si>
    <t>115MM</t>
  </si>
  <si>
    <t>WOS:000242738400001</t>
  </si>
  <si>
    <t>Smart, CW; Thomas, E</t>
  </si>
  <si>
    <t>Smart, Christopher W.; Thomas, Ellen</t>
  </si>
  <si>
    <t>The enigma of early Miocene biserial planktic foraminifera</t>
  </si>
  <si>
    <t>GEOLOGY</t>
  </si>
  <si>
    <t>Miocene; planktic foraminifera; paleoceanography; ocean circulation; productivity; Ocean Drilling Program</t>
  </si>
  <si>
    <t>ATLANTIC; CARBON; STREPTOCHILUS; PALEOECOLOGY; SIGNATURE; EVOLUTION; TRENDS; EOCENE; SEA</t>
  </si>
  <si>
    <t>Small biserial foraminifera were abundant in the early Miocene (ca. 18.9-17.2 Ma) in the eastern Atlantic and western Indian Oceans, but absent in the western equatorial Atlantic Ocean, Weddell Sea, eastern Indian Ocean, and equatorial Pacific Ocean. They have been assigned to the benthic genus Bolivina, but their high abundances in sediments without evidence for dysoxia could not be explained. Apertural morphology, accumulation rates, and isotopic composition show that they were planktic (genus Streptochilus). Living Streptochilus are common in productive waters with intermittent upwelling. The widespread early Miocene high Streptochilus abundances may reflect vigorous but intermittent upwelling, inducing high phytoplankton growth rates. However, export production (estimated from benthic foraminiferal accumulation rates) was low, possibly due to high regeneration rates in a deep thermocline. The upwelled waters may have been an analog to Subantarctic Mode Waters, carrying nutrients into the eastern Atlantic and western Indian Oceans as the result of the initiation of a deep-reaching Antarctic Circumpolar Current, active Agulhas Leakage, and vigorous vertical mixing in the Southern Oceans.</t>
  </si>
  <si>
    <t>Univ Plymouth, Sch Earth Ocean &amp; Environm Sci, Plymouth PL4 8AA, Devon, England; Yale Univ, Dept Geol &amp; Geophys, New Haven, CT 06520 USA; Wesleyan Univ, Dept Earth &amp; Environm Sci, Middletown, CT 06459 USA</t>
  </si>
  <si>
    <t>University of Plymouth; Yale University; Wesleyan University</t>
  </si>
  <si>
    <t>Smart, CW (corresponding author), Univ Plymouth, Sch Earth Ocean &amp; Environm Sci, Drake Circus, Plymouth PL4 8AA, Devon, England.</t>
  </si>
  <si>
    <t>csmart@plymouth.ac.uk; ellen.thomas@yale.edu</t>
  </si>
  <si>
    <t>Thomas, Ellen/JVO-1734-2024</t>
  </si>
  <si>
    <t>Thomas, Ellen/0000-0002-7141-9904; Smart, Christopher/0000-0001-6329-4139</t>
  </si>
  <si>
    <t>GEOLOGICAL SOC AMER, INC</t>
  </si>
  <si>
    <t>PO BOX 9140, BOULDER, CO 80301-9140 USA</t>
  </si>
  <si>
    <t>0091-7613</t>
  </si>
  <si>
    <t>1943-2682</t>
  </si>
  <si>
    <t>10.1130/G23038A.1</t>
  </si>
  <si>
    <t>113WZ</t>
  </si>
  <si>
    <t>WOS:000242630000013</t>
  </si>
  <si>
    <t>Kokin, GA; Kuznetsov, AV</t>
  </si>
  <si>
    <t>Kokin, G. A.; Kuznetsov, A. V.</t>
  </si>
  <si>
    <t>Specific features of vernal ozone destruction over different Antarctic regions</t>
  </si>
  <si>
    <t>GEOMAGNETISM AND AERONOMY</t>
  </si>
  <si>
    <t>Using the equations of ozone transport and measurements of the vertical ozone distribution and atmospheric parameters above Seva (1987 - 1988) and Amundsen - Scott (1987) stations, the vernal ozone destruction has been calculated for the cited periods. The values of chlorine and bromine oxides have been estimated. It has been indicated that a rather high ozone destruction was observed in 1987 above Seva and Amundsen - Scott stations, which was caused by high concentrations of ClO and BrO. In 1988, the temperatures at levels of 14 - 16 km were increased to 210 - 220 K, and ozone destruction was less pronounced and was caused by the meridional transport of ClO and BrO form the inner Antarctic regions due to the ingression of the Australian anticyclone on the Antarctic continent.</t>
  </si>
  <si>
    <t>Cent Aerol Observ, Dolgoprudnyi 141700, Moscow, Russia</t>
  </si>
  <si>
    <t>Kokin, GA (corresponding author), Cent Aerol Observ, Dolgoprudnyi 141700, Moscow, Russia.</t>
  </si>
  <si>
    <t>Kuznetsov, Aleksei V./H-1190-2017</t>
  </si>
  <si>
    <t>0016-7932</t>
  </si>
  <si>
    <t>1555-645X</t>
  </si>
  <si>
    <t>GEOMAGN AERONOMY+</t>
  </si>
  <si>
    <t>Geomagn. Aeron.</t>
  </si>
  <si>
    <t>10.1134/S0016793206060120</t>
  </si>
  <si>
    <t>141KZ</t>
  </si>
  <si>
    <t>WOS:000244578600012</t>
  </si>
  <si>
    <t>Dunn, JL; Robinson, SA</t>
  </si>
  <si>
    <t>Dunn, Jodie L.; Robinson, Sharon A.</t>
  </si>
  <si>
    <t>Ultraviolet B screening potential is higher in two cosmopolitan moss species than in a co-occurring Antarctic endemic moss: implications of continuing ozone depletion</t>
  </si>
  <si>
    <t>GLOBAL CHANGE BIOLOGY</t>
  </si>
  <si>
    <t>Antarctica; anthocyanins; Grimmia antarctici; ozone hole; relative humidity; temperature; ultraviolet radiation; UVB screening pigments</t>
  </si>
  <si>
    <t>ENHANCED UV-B; TIERRA-DEL-FUEGO; STRATOSPHERIC OZONE; CONTINENTAL ANTARCTICA; PIGMENT COMPOSITION; CARBON-DIOXIDE; EARTHS SURFACE; PLANT-RESPONSE; CLIMATE-CHANGE; WILKES-LAND</t>
  </si>
  <si>
    <t>Concentrations of UVB (ultraviolet B) absorbing pigments and anthocyanins were measured in three moss species, over a summer growing season in Antarctica. Pigment concentrations were compared with a range of climatic variables to determine if there was evidence that pigments were induced by UVB radiation, or other environmental parameters, and secondly if there were differences between species in their pigment responses. Significant seasonal differences in the potential UVB screening pigments were found, with the two cosmopolitan species Bryum pseudotriquetrum and Ceratodon purpureus appearing better protected from the potentially damaging effects of ozone depletion than the Antarctic endemic Schistidium antarctici. B. pseudotriquetrum accumulated the highest concentration of UVB screening pigments and showed positive associations between UVB radiation and both UVB absorbing and anthocyanin pigments. The negative associations between water availability measures and UVB absorbing and anthocyanin pigments also suggest that B. pseudotriquetrum is well protected in the desiccated state. This could offer B. pseudotriquetrum an advantage over the other species when high UVB radiation coincides with low temperatures and low water availability, thus limiting physiological activity and consequently, active photoprotective and repair mechanisms. As these pigments could act as either direct UVB screens or antioxidants, the results suggest that B. pseudotriquetrum is best equipped to deal with the negative effects of increased exposure to UVB radiation due to ozone depletion. The most exposed species, C. purpureus, has intermediate and stable concentrations of UVB absorbing pigments suggesting it may rely on constitutive UVB screens. Anthocyanin pigments were more responsive in this species and could offer increased antioxidant protection during periods of high UVB radiation. S. antarctici appears poorly protected and showed no evidence of any UV photoprotective response, providing additional evidence that this endemic is more vulnerable to climate change.</t>
  </si>
  <si>
    <t>Univ Wollongong, Inst Conservat Biol, Wollongong, NSW 2522, Australia</t>
  </si>
  <si>
    <t>University of Wollongong</t>
  </si>
  <si>
    <t>Robinson, SA (corresponding author), Univ Wollongong, Inst Conservat Biol, Wollongong, NSW 2522, Australia.</t>
  </si>
  <si>
    <t>sharonr@uow.edu.au</t>
  </si>
  <si>
    <t>Robinson, Sharon/B-2683-2008</t>
  </si>
  <si>
    <t>Robinson, Sharon/0000-0002-7130-9617</t>
  </si>
  <si>
    <t>1354-1013</t>
  </si>
  <si>
    <t>GLOBAL CHANGE BIOL</t>
  </si>
  <si>
    <t>Glob. Change Biol.</t>
  </si>
  <si>
    <t>10.1111/j.1365-2486.2006.01283.x</t>
  </si>
  <si>
    <t>114IH</t>
  </si>
  <si>
    <t>WOS:000242659400005</t>
  </si>
  <si>
    <t>Hunter, RL; Halanych, KM</t>
  </si>
  <si>
    <t>Hunter, Rebecca L.; Halanych, Kenneth M.</t>
  </si>
  <si>
    <t>Phylogeography of Astrotoma agassizii from South American and Antarctic waters using mtDNA</t>
  </si>
  <si>
    <t>INTEGRATIVE AND COMPARATIVE BIOLOGY</t>
  </si>
  <si>
    <t>[Hunter, Rebecca L.; Halanych, Kenneth M.] Auburn Univ, Auburn, AL 36849 USA</t>
  </si>
  <si>
    <t>Auburn University System; Auburn University</t>
  </si>
  <si>
    <t>beichri@auburn.edu</t>
  </si>
  <si>
    <t>Halanych, Kenneth/A-9480-2009</t>
  </si>
  <si>
    <t>Halanych, Kenneth/0000-0002-8658-9674</t>
  </si>
  <si>
    <t>OXFORD UNIV PRESS INC</t>
  </si>
  <si>
    <t>CARY</t>
  </si>
  <si>
    <t>JOURNALS DEPT, 2001 EVANS RD, CARY, NC 27513 USA</t>
  </si>
  <si>
    <t>1540-7063</t>
  </si>
  <si>
    <t>1557-7023</t>
  </si>
  <si>
    <t>INTEGR COMP BIOL</t>
  </si>
  <si>
    <t>Integr. Comp. Biol.</t>
  </si>
  <si>
    <t>E65</t>
  </si>
  <si>
    <t>V43YJ</t>
  </si>
  <si>
    <t>WOS:000202970100258</t>
  </si>
  <si>
    <t>Moran, AL; Woods, HA</t>
  </si>
  <si>
    <t>Moran, A. L.; Woods, H. A.</t>
  </si>
  <si>
    <t>Egg mass physiology: Comparative morphology and physiology of experimental and natural invertebrate egg masses from temperate and Antarctic sites</t>
  </si>
  <si>
    <t>Clemson Univ, Clemson, SC USA; Univ Montana, Missoula, MT 59812 USA</t>
  </si>
  <si>
    <t>Clemson University; University of Montana System; University of Montana</t>
  </si>
  <si>
    <t>moran@clemson.edu</t>
  </si>
  <si>
    <t>Moran, Amy L/F-7072-2011</t>
  </si>
  <si>
    <t>E100</t>
  </si>
  <si>
    <t>WOS:000202970100399</t>
  </si>
  <si>
    <t>Rodriguez, E; Lopez-Gonzalez, PJ; Gili, JM</t>
  </si>
  <si>
    <t>Rodriguez, E.; Lopez-Gonzalez, P. J.; Gili, J. M.</t>
  </si>
  <si>
    <t>Reproduction of the Antarctic external brooder sea anemone Epiactis georgiana Carlgren, 1927 (Cnidaria: Anthozoa: Actiniaria)</t>
  </si>
  <si>
    <t>Ohio State Univ, Columbus, OH 43210 USA; Univ Seville, Seville, Spain; CSIC, CMIMA, Barcelona, Spain</t>
  </si>
  <si>
    <t>University System of Ohio; Ohio State University; University of Sevilla; Consejo Superior de Investigaciones Cientificas (CSIC); CSIC - Centro Mediterraneo de Investigaciones Marinas y Ambientales (CMIMA)</t>
  </si>
  <si>
    <t>E243</t>
  </si>
  <si>
    <t>WOS:000202970100967</t>
  </si>
  <si>
    <t>Turner, LM; Wilson, NG</t>
  </si>
  <si>
    <t>Turner, L. M.; Wilson, N. G.</t>
  </si>
  <si>
    <t>Paraphyly across oceans:: a molecular phylogeny of the family Chromodorididae (Gastropoda: Nudibranchia) using three molecular markers</t>
  </si>
  <si>
    <t>British Antarctic Survey, Cambridge, England; Univ Calif San Diego, Scripps Inst Oceanog, San Diego, CA 92103 USA</t>
  </si>
  <si>
    <t>UK Research &amp; Innovation (UKRI); Natural Environment Research Council (NERC); NERC British Antarctic Survey; University of California System; University of California San Diego; Scripps Institution of Oceanography</t>
  </si>
  <si>
    <t>wilsong@auburn.edu</t>
  </si>
  <si>
    <t>Turner, Lucy Millicent/GRR-1515-2022</t>
  </si>
  <si>
    <t>E143</t>
  </si>
  <si>
    <t>WOS:000202970100572</t>
  </si>
  <si>
    <t>Ulrich, PN; Marsch, AG</t>
  </si>
  <si>
    <t>Ulrich, P. N.; Marsch, A. G.</t>
  </si>
  <si>
    <t>Cell volume stress and respiration of the Antarctic clam Laternula elliptica:: implementation of a high-throughput, optical assay of multiple parameters of mitochondrial physiology</t>
  </si>
  <si>
    <t>[Ulrich, P. N.; Marsch, A. G.] Univ Delaware, Newark, DE 19716 USA</t>
  </si>
  <si>
    <t>University of Delaware</t>
  </si>
  <si>
    <t>pnathanu@udei.edu</t>
  </si>
  <si>
    <t>E144</t>
  </si>
  <si>
    <t>WOS:000202970100576</t>
  </si>
  <si>
    <t>Basberg, BL</t>
  </si>
  <si>
    <t>Basberg, Bjorn L.</t>
  </si>
  <si>
    <t>Forum: Antarctic Maritime Industries Introduction</t>
  </si>
  <si>
    <t>INTERNATIONAL JOURNAL OF MARITIME HISTORY</t>
  </si>
  <si>
    <t>[Basberg, Bjorn L.] Norwegian Sch Econ &amp; Business Adm, Econ Hist, Bergen, Norway</t>
  </si>
  <si>
    <t>Norwegian School of Economics (NHH)</t>
  </si>
  <si>
    <t>Basberg, BL (corresponding author), Norwegian Sch Econ &amp; Business Adm, Econ Hist, Bergen, Norway.</t>
  </si>
  <si>
    <t>SAGE PUBLICATIONS LTD</t>
  </si>
  <si>
    <t>1 OLIVERS YARD, 55 CITY ROAD, LONDON EC1Y 1SP, ENGLAND</t>
  </si>
  <si>
    <t>0843-8714</t>
  </si>
  <si>
    <t>2052-7756</t>
  </si>
  <si>
    <t>INT J MARIT HIST</t>
  </si>
  <si>
    <t>Int. J. Marit. Hist.</t>
  </si>
  <si>
    <t>10.1177/084387140601800213</t>
  </si>
  <si>
    <t>History</t>
  </si>
  <si>
    <t>V57JY</t>
  </si>
  <si>
    <t>WOS:000210625300013</t>
  </si>
  <si>
    <t>Perspectives on the Economic History of the Antarctic Region</t>
  </si>
  <si>
    <t>The economic history of the Antarctic region is not very visible in the literature compared to writings on exploration and adventure. The paper discusses how the economic history of the Antarctic might be conceptualized given its peculiarities; such as no permanent population, no sovereignty in a traditional sense, extreme remoteness, rigorous climate and the like. The Antarctic as an economic region is defined to include the Southern Ocean and the so-called peri-Antarctic islands. The Antarctic industries are reviewed, beginning with the main exploitative activities such as sealing, whaling and fishing. Mineral exploitation is also discussed, although mining has so far been banned. Scientific research is also considered as an economic activity, as are the related transport industries. Recent developments in tourism are dealt with, as are other smaller industries like animal breeding, philately, ship registers, water and ice exports and bio-prospecting. The paper focuses on long-term trends in Antarctic economic and commercial activities. It examines the available quantitative data on regional economic activity, suggests how to analyse it and finally asks whether it is possible to construct an historical national product for the region.</t>
  </si>
  <si>
    <t>10.1177/084387140601800214</t>
  </si>
  <si>
    <t>WOS:000210625300014</t>
  </si>
  <si>
    <t>Wolfe, A</t>
  </si>
  <si>
    <t>Wolfe, Adam</t>
  </si>
  <si>
    <t>Australian Whaling Ambitions and Antarctica</t>
  </si>
  <si>
    <t>While Australia actively opposes the commercial whaling industries of Japan and other nations, few recall that Australia once maintained a vibrant whaling industry of its own and at times cast envious eyes towards the whaling resources of the Antarctic seas. This essay traces the rise of Australia's interest in the Antarctic in the nineteenth and the first half of the twentieth century. It examines the efforts of individuals, private companies and later the Australian government to promote and develop an Antarctic whaling industry. The market for whale products, the imperatives of politicians in Australia and abroad, the geography of both Australia and Antarctica and the character of the Australian population helped to shape this ambition. Of equal importance were the effects of wars and economic depressions. In the end it was a failed ambition. Preoccupied with other priorities, Australia failed to understand and engage with the complexity of the international whaling industry. Swept aside by other whaling nations, Australia had few choices but to turn its back on Antarctic whaling. Instead, the country's political and economic resources were focused on developing a shore whaling industry on its own coasts.</t>
  </si>
  <si>
    <t>[Wolfe, Adam] Univ Western Australia, Nedlands, WA, Australia</t>
  </si>
  <si>
    <t>University of Western Australia</t>
  </si>
  <si>
    <t>Wolfe, A (corresponding author), Univ Western Australia, Nedlands, WA, Australia.</t>
  </si>
  <si>
    <t>10.1177/084387140601800215</t>
  </si>
  <si>
    <t>WOS:000210625300015</t>
  </si>
  <si>
    <t>May, SR</t>
  </si>
  <si>
    <t>May, Sally R.</t>
  </si>
  <si>
    <t>Australia's Antarctic (Southern Ocean) Fisheries: A Case Study of the Development of Trans-national Capitalism</t>
  </si>
  <si>
    <t>This essay is a case study of the development of trans-national capitalism with which Australia, a signatory to the Antarctic Treaty System and the Convention on the Conservation of Antarctic Marine Living Resources, is trying to combat highly organised illegal, unregulated and unreported foreign fishing vessels. Despite developing regional, national and international networks and investment in patrols, arrests and prosecutions, Australia is failing to stop the plunder of its Antarctic fisheries but maintains a robust trade with countries whose citizens and trans-national corporations are known to be involved in exploitation of these remote fisheries.</t>
  </si>
  <si>
    <t>[May, Sally R.] Murdoch Univ, Social Hist Western Australias Fisheries Manageme, Murdoch, WA, Australia; [May, Sally R.] Western Australian Maritime Museum, Dept Maritime Hist, Fremantle, WA, Australia</t>
  </si>
  <si>
    <t>May, SR (corresponding author), Murdoch Univ, Social Hist Western Australias Fisheries Manageme, Murdoch, WA, Australia.</t>
  </si>
  <si>
    <t>10.1177/084387140601800216</t>
  </si>
  <si>
    <t>WOS:000210625300016</t>
  </si>
  <si>
    <t>Kolltveit, B</t>
  </si>
  <si>
    <t>Kolltveit, Bard</t>
  </si>
  <si>
    <t>Deckchair Explorers: The Origin and Development of Organised Tourist Voyages to Northern and Southern Polar Regions</t>
  </si>
  <si>
    <t>Compared with other destinations for recreational travel, pleasure cruises to Antarctica are recent phenomena, coming into being only in the mid-1960s. By contrast, the first tourist cruises beyond the northern polar circle took place as early as 1875, when a group of travellers organised by Thomas Cook sailed to North Cape in the chartered 600-ton Norwegian steamer Prasideni Christie. Despite the sometimes rough passage, Spitsbergen has also been a tourist attraction since 1881. Antarctica, on the other hand, only became a cruise destination in the late 1960s, due primarily to the efforts of Lars-Eric Lindblad, whose Lindblad Explorer established an itinerary generally used by all later tourist vessels. Departing from Ushuaia in the Beagle Channel or Punta Arenas in the Magellan Strait, making an occasional call at Cape Horn, sailing through the waters of the Drake Passage across the Antarctic Convergence, Lindblad Explorer and the slightly larger World Discoverer finally made landfall on the South Shetland Island and the west coast of the Antarctic Peninsula. These ships were the only passenger vessels built especially for this purpose until the early 1990s, when the 6000-gross registered ton (grt) Frontier Spirit and the 9000-grt Society Adventurer were delivered. After a shaky start, both ships have been operated since 1994 by the German Hapag-Lloyd as Bremen and Hanseatic. The increasing number of tourist ships heading for Antarctica has been reflected in the rising number of visitors, which reached 20,818 in 2002/2003.</t>
  </si>
  <si>
    <t>10.1177/084387140601800217</t>
  </si>
  <si>
    <t>WOS:000210625300017</t>
  </si>
  <si>
    <t>Robinson, R</t>
  </si>
  <si>
    <t>Robinson, Robb</t>
  </si>
  <si>
    <t>Whaling in the Falkland Islands Dependencies 1904-1931: A History ofShore and Bay-based Whaling in the Antarctic</t>
  </si>
  <si>
    <t>10.1177/084387140601800259</t>
  </si>
  <si>
    <t>WOS:000210625300061</t>
  </si>
  <si>
    <t>Usuki, T; Kaiden, H; Misawa, K; Shiraishi, K</t>
  </si>
  <si>
    <t>Usuki, Tadashi; Kaiden, Hiroshi; Misawa, Keiji; Shiraishi, Kazuyuki</t>
  </si>
  <si>
    <t>Sensitive high-resolution ion microprobe U-Pb ages of the latest oligocene-early miocene rift-related hidaka high-temperature metamorphism in Hokkaido, northern Japan</t>
  </si>
  <si>
    <t>ISLAND ARC</t>
  </si>
  <si>
    <t>back-arc rifting; granulite; Hidaka Metamorphic Belt; SHRIMP U-Pb age; zircon</t>
  </si>
  <si>
    <t>ISOTOPIC EVIDENCE; REYNOLDS RANGE; ZIRCON; ARC; GROWTH; BELT; ZONE; SEA; RECRYSTALLIZATION; OPHIOLITES</t>
  </si>
  <si>
    <t>In order to define the timing of granulite facies metamorphism, sensitive high-resolution ion microprobe (SHRIMP) U-Pb analyses were performed on zircons of three pelitic granulites from the lower metamorphic sequence of the Hidaka Metamorphic Belt, southern central Hokkaido, Japan. Both rounded and prismatic zircons were found in the granulite samples. The rounded zircons had thin (10-20 mu m) concentric overgrowth rims on detrital cores, while the prismatic zircons did not have detrital cores. Both the overgrowth rims on the rounded zircons and the entire prismatic zircons were formed under granulite facies metamorphism and consistently yield Latest Oligocene-Early Miocene ages (23.7 +/- 0.4 Ma to 17.2 +/- 0.5 Ma; Pb-206/ U-238 ages (n = 31) with low Th/U ratios, mostly &lt; 0.1). The internal structure of zircons and their SHRIMP U-Pb ages provide strong evidence in support of the granulite facies event occurring during the Latest Oligocene-Early Miocene. The detrital cores of rounded zircons show a huge variety of ages; Mesoarchean to Paleoproterozoic, Paleozoic to Mesozoic and Paleogene. The interior and marginal portions of the Eurasian continent including cratonic areas are suggested for their source provenances. These wide variations in age suggest that the protolith of the granulites of the lower metamorphic sequence were deposited near the trench of the Eurasian continental margin during Paleogene. The protolith of the lower metamorphic sequence of the Hidaka metamorphic belt was thrust under the upper metamorphic sequence, which had already been metamorphosed in early Paleogene. The Latest Oligocene-Early Miocene Hidaka high-temperature metamorphic event is presumed to have been caused by asthenospheric upwelling during back-arc rifting of the Kuril and Japan basins.</t>
  </si>
  <si>
    <t>Natl Inst Polar Res, Geosci Grp, Tokyo 1738515, Japan; Natl Inst Polar Res, Antarctic Meteorite Res Ctr, Tokyo 1738515, Japan; Grad Univ Adv Studies, Sch Multidisciplin Sci, Dept Polar Sci, Tokyo 1738515, Japan</t>
  </si>
  <si>
    <t>Research Organization of Information &amp; Systems (ROIS); National Institute of Polar Research (NIPR) - Japan; Research Organization of Information &amp; Systems (ROIS); National Institute of Polar Research (NIPR) - Japan; Graduate University for Advanced Studies - Japan</t>
  </si>
  <si>
    <t>Usuki, T (corresponding author), Acad Sinica, Inst Earth Sci, POB 1-55, Taipei 115, Taiwan.</t>
  </si>
  <si>
    <t>usu@nipr.ac.jp</t>
  </si>
  <si>
    <t>1038-4871</t>
  </si>
  <si>
    <t>1440-1738</t>
  </si>
  <si>
    <t>ISL ARC</t>
  </si>
  <si>
    <t>Isl. Arc.</t>
  </si>
  <si>
    <t>10.1111/j.1440-1738.2006.00547.x</t>
  </si>
  <si>
    <t>094JZ</t>
  </si>
  <si>
    <t>WOS:000241237000010</t>
  </si>
  <si>
    <t>Odierna, G; Aprea, G; Barucca, M; Canapa, A; Capriglione, T; Olmo, E</t>
  </si>
  <si>
    <t>Odierna, Gaetano; Aprea, Gennaro; Barucca, Marco; Canapa, Adriana; Capriglione, Teresa; Olmo, Ettore</t>
  </si>
  <si>
    <t>The karyology of the Antarctic whelk, Neobuccinum eationi (Mollusca, Neogastropoda)</t>
  </si>
  <si>
    <t>ITALIAN JOURNAL OF ZOOLOGY</t>
  </si>
  <si>
    <t>Chromosomes; karvotype; Neobuccinum eatoni</t>
  </si>
  <si>
    <t>(TTAGGG)(N) TELOMERIC REPEATS; IN-SITU HYBRIDIZATION; GENOME SIZE; FASCIOLARIA-LIGNARIA; RIBOSOMAL DNA; GASTROPODA; RDNA; (GATA)(N); BIVALVE; PROSOBRANCHIA</t>
  </si>
  <si>
    <t>Karyotype, location of the nucleolar organizer regions (NORs) and heterochromatin presence and composition were studied in the Antarctic whelk Neobuccinum eatoni. The karyotype exhibits 2n=68 chromosomes with 10 pairs of metacentrics, 14 pairs of meta-submetacentrics, six pairs of submeta-subtelocentrics, and one pair of subtelo-telocentrics. Silver and CMA(3)/ methyl green staining and rDNA FISH evidenced telomeric NORs on the long arm of a pair of medium-sized submetacentrics. Staining with AT-specific fluorochromes evidenced telomeric bands on nearly all chromosomes and interstitial Q bands on two pairs of presumably subtelocentric chromosomes. The karyological evolution of N. eatoni seems to be characterized by a generalized neogastropod karyotype associated with a genome size increase following the accumulation of heterochromatin containing AT-rich repetitive DNA; according to some authors the latter could be related to the modulation of morphological and functional parameters of ecological significance.</t>
  </si>
  <si>
    <t>Univ Politecn Marche, Ist Biol &amp; Genet, I-60131 Ancona, Italy; Univ Naples Federico II, Dipartimento Biol Strutturale &amp; Funz, Naples, Italy; Univ Naples Federico II, Dipartimento Biol Evolut &amp; Comparata, Naples, Italy</t>
  </si>
  <si>
    <t>Marche Polytechnic University; University of Naples Federico II; University of Naples Federico II</t>
  </si>
  <si>
    <t>Canapa, A (corresponding author), Univ Politecn Marche, Ist Biol &amp; Genet, Via Brecce Bianche, I-60131 Ancona, Italy.</t>
  </si>
  <si>
    <t>a.canapa@univpm.it</t>
  </si>
  <si>
    <t>1125-0003</t>
  </si>
  <si>
    <t>1748-5851</t>
  </si>
  <si>
    <t>ITAL J ZOOL</t>
  </si>
  <si>
    <t>Ital. J. Zoolog.</t>
  </si>
  <si>
    <t>10.1080/11250000600918076</t>
  </si>
  <si>
    <t>123IZ</t>
  </si>
  <si>
    <t>WOS:000243290900002</t>
  </si>
  <si>
    <t>van den Broeke, MR</t>
  </si>
  <si>
    <t>van den Broeke, M. R.</t>
  </si>
  <si>
    <t>Towards quantifying the contribution of the Antarctic ice sheet to global sea level change</t>
  </si>
  <si>
    <t>JOURNAL DE PHYSIQUE IV</t>
  </si>
  <si>
    <t>European Research Course on Atmospheres</t>
  </si>
  <si>
    <t>Grenoble, FRANCE</t>
  </si>
  <si>
    <t>SURFACE MASS-BALANCE; SHELVES; OCEAN; RISE</t>
  </si>
  <si>
    <t>At present, the mass balance of the Antarctic Ice Sheet (AIS) and its contribution to global sea level change are poorly known. Current methods to determine AIS mass balance as well as the inherent uncertainties are discussed. Special emphasis is placed on the increasingly important role of regional atmospheric climate models, which can reduce the uncertainties in surface accumulation, the correction for the firn layer depth and density in ice thickness calculations and moreover help in interpreting surface elevation changes in terms of accumulation and firn density variability. Some recent advances in these fields of research are presented.</t>
  </si>
  <si>
    <t>Univ Utrecht, Inst Marine &amp; Atmospher Res, NL-3508 TA Utrecht, Netherlands</t>
  </si>
  <si>
    <t>Utrecht University</t>
  </si>
  <si>
    <t>van den Broeke, MR (corresponding author), Univ Utrecht, Inst Marine &amp; Atmospher Res, POB 8005, NL-3508 TA Utrecht, Netherlands.</t>
  </si>
  <si>
    <t>m.r.vandenbroeke@phys.uu.nl</t>
  </si>
  <si>
    <t>Van den Broeke, Michiel R./F-7867-2011</t>
  </si>
  <si>
    <t>Van den Broeke, Michiel R./0000-0003-4662-7565</t>
  </si>
  <si>
    <t>1155-4339</t>
  </si>
  <si>
    <t>J PHYS IV</t>
  </si>
  <si>
    <t>J. Phys. IV</t>
  </si>
  <si>
    <t>10.1051/jp4:2006139013</t>
  </si>
  <si>
    <t>128WP</t>
  </si>
  <si>
    <t>WOS:000243690700013</t>
  </si>
  <si>
    <t>Wolff, EW</t>
  </si>
  <si>
    <t>Wolff, E. W.</t>
  </si>
  <si>
    <t>The challenge from ice cores: Understanding the climate and atmospheric composition of the late Quaternary</t>
  </si>
  <si>
    <t>LAST GLACIAL MAXIMUM; ANTARCTIC ICE; LATE PLEISTOCENE; EAST ANTARCTICA; SOUTHERN-OCEAN; DOME-C; VARIABILITY; GREENLAND; METHANE; CYCLES</t>
  </si>
  <si>
    <t>The Quaternary period is a critical one for understanding the working of the Earth System because it shows a wide range of climates under a geography similar to the present. Ice cores are an important palaeorecord because they record aspects of the atmosphere (including trace gas concentrations) rather directly. This paper takes advantage of recently published results from ice cores completed since an earlier ERCA chapter was published. These extend the ice core record from Antarctica back towards 800,000 years, confirming the close relationship between different parameters (particularly CO2 and Antarctic temperature), but showing a different behaviour (with cooler interglacials) in the period preceding 450,000 years before present compared to the later period. New records of the last glacial cycle have documented the entire suite of rapid climate warmings (Dansgaard-Oeschger events) in this period, shown the behaviour of Antarctica during these events, and given us a first clear view of Greenland climate in the later parts of the last interglacial. Taken together these results present a compilation of the behaviour of the Earth that challenges palaeoclimatologists and Earth System modellers towards better understanding of the system.</t>
  </si>
  <si>
    <t>Wolff, EW (corresponding author), British Antarctic Survey, NERC, High Cross,Madingley Rd, Cambridge CB3 0ET, England.</t>
  </si>
  <si>
    <t>10.1051/jp4:2006139014</t>
  </si>
  <si>
    <t>WOS:000243690700014</t>
  </si>
  <si>
    <t>Jitaru, P; Barbante, C</t>
  </si>
  <si>
    <t>Jitaru, P.; Barbante, C.</t>
  </si>
  <si>
    <t>Elemental speciation analysis, from environmental to biochemical challenge</t>
  </si>
  <si>
    <t>SOLID-PHASE MICROEXTRACTION; CAPILLARY GAS-CHROMATOGRAPHY; FLIGHT MASS-SPECTROMETRY; ALTITUDE ALPINE SNOW; PRESENT CENTURY RECORD; VOSTOK ANTARCTIC ICE; MONT-BLANC ICE; HEAVY-METALS; SAMPLE PREPARATION; GRAM LEVEL</t>
  </si>
  <si>
    <t>Information regarding the distribution of metallic/metalloid chemical species in biological compartments is required for understanding their biochemical impact on living organisms. To obtain such information implies the use of a dedicated measurement approach, namely speciation analysis. The current trend in (elemental) speciation analysis regards bioinorganic applications. New analytical methodologies are therefore necessary for identification, detection and characterization of metal(loids) complexed or incorporated into biomolecules. The established element-speciation approaches developed for the determination of low molecular mass metal(loid) species (e.g. organometallic compounds) in environmental, food, toxicological and health sciences are presently being adapted for the determination of high molecular mass metal-species, generally related to biological processes. This is one of the newest approaches in terms of element speciation and is called inetallomics; this concept refers to the totality of metal species in a cell and covers the inorganic element content and the ensemble of its complexes with biomolecules, particularly proteins, participating in the organisms' response to beneficial or harmful conditions. Compared to conventional elemental speciation analysis, the approach applied to bioinorganic analysis is challenging, particularly given the difficulties in identification/characterization of the organic (e.g. protein) content of such species. In addition, quantification is not feasible with the conventional approaches, which led to the exploitation of the unique feature of (post-column) online isotope dilution-mass spectrometry for species quantification in metallomics.</t>
  </si>
  <si>
    <t>Alexandru Ioan Cuza Univ, Fac Chem, Dept Inorgan &amp; Analyt Chem, Iasi 700506, Romania; CNR, Inst Dynam Environm Proc, I-30123 Venice, Italy; Univ Venice Ca Foscari, Dept Environm Sci, I-30123 Venice, Italy</t>
  </si>
  <si>
    <t>Alexandru Ioan Cuza University; Consiglio Nazionale delle Ricerche (CNR); Istituto per la Dinamica dei Processi Ambientali (IDPA-CNR); Universita Ca Foscari Venezia</t>
  </si>
  <si>
    <t>Jitaru, P (corresponding author), Alexandru Ioan Cuza Univ, Fac Chem, Dept Inorgan &amp; Analyt Chem, 11 Carol I Blvd, Iasi 700506, Romania.</t>
  </si>
  <si>
    <t>Barbante, Carlo/B-3195-2011</t>
  </si>
  <si>
    <t>JITARU, Petru/0000-0001-9521-6899; Barbante, Carlo/0000-0003-4177-2288</t>
  </si>
  <si>
    <t>10.1051/jp4:2006139019</t>
  </si>
  <si>
    <t>WOS:000243690700019</t>
  </si>
  <si>
    <t>Liu, SH; Liu, CL; Huang, XH; Chai, YM; Cong, BL</t>
  </si>
  <si>
    <t>Liu, Shenghao; Liu, Chenlin; Huang, Xiaohang; Chai, Yingmei; Cong, Bailin</t>
  </si>
  <si>
    <t>Optimization of parameters for isolation of protoplasts from the antarctic sea ice alga Chlamydomonas sp ICE-L</t>
  </si>
  <si>
    <t>JOURNAL OF APPLIED PHYCOLOGY</t>
  </si>
  <si>
    <t>cellulase; Chlorophyta; isolation; macerozyme; protoplast</t>
  </si>
  <si>
    <t>UNICELLULAR GREEN-ALGA; REGENERATION; RHODOPHYTA; CHANNEL; ULVA; CA2+</t>
  </si>
  <si>
    <t>The present study was initiated to provide a systematic protocol for producing protoplasts from the Antarctic sea ice alga Chlamydomonas sp. ICE-L suitable for physiological studies. The results showed that the mixtures of 3.0% Cellulase R-10 and 2.0% Macerozyme R-10 were most effective for isolating protoplasts from this alga. Optimum pH and temperature for hydrolytic enzyme reaction were pH 6.0 and 15 degrees C, respectively. Mannitol and sorbitol were found to be the excellent osmotic stabilizers. Growth conditions of the algae prior to enzyme treatment also influenced the yield of protoplasts greatly. At the optimized condition, protoplast production was 47.8%, and the viability of isolated protoplasts was more than 97.6% as confirmed by Evan's blue staining.</t>
  </si>
  <si>
    <t>State Ocean Adm, Inst Oceanog 1, Key Lab Marine Bioact Subst, Qingdao 266061, Peoples R China; Shandong Univ, Coll Marine Life Sci, Weihai 264209, Peoples R China</t>
  </si>
  <si>
    <t>First Institute of Oceanography, Ministry of Natural Resources; Shandong University</t>
  </si>
  <si>
    <t>Huang, XH (corresponding author), State Ocean Adm, Inst Oceanog 1, Key Lab Marine Bioact Subst, Qingdao 266061, Peoples R China.</t>
  </si>
  <si>
    <t>xiaohanghuang@yahoo.ca</t>
  </si>
  <si>
    <t>liu, chen/ISV-2093-2023; Liu, Shenghao/ISU-3076-2023</t>
  </si>
  <si>
    <t>Liu, Shenghao/0000-0002-1449-3526</t>
  </si>
  <si>
    <t>0921-8971</t>
  </si>
  <si>
    <t>J APPL PHYCOL</t>
  </si>
  <si>
    <t>J. Appl. Phycol.</t>
  </si>
  <si>
    <t>10.1007/s10811-006-9093-z</t>
  </si>
  <si>
    <t>Biotechnology &amp; Applied Microbiology; Marine &amp; Freshwater Biology</t>
  </si>
  <si>
    <t>109CI</t>
  </si>
  <si>
    <t>WOS:000242285100009</t>
  </si>
  <si>
    <t>Jarvis, MJ</t>
  </si>
  <si>
    <t>Jarvis, M. J.</t>
  </si>
  <si>
    <t>Planetary wave trends in the lower thermosphere - Evidence for 22-year solar modulation of the quasi 5-day wave</t>
  </si>
  <si>
    <t>JOURNAL OF ATMOSPHERIC AND SOLAR-TERRESTRIAL PHYSICS</t>
  </si>
  <si>
    <t>Scientific Assembly of the International-Association-of-Geomagnetism-and Aeronomy</t>
  </si>
  <si>
    <t>JUL 18-29, 2005</t>
  </si>
  <si>
    <t>Toulouse, FRANCE</t>
  </si>
  <si>
    <t>global change; planetary wave; geomagnetism; thermosphere; solar cycle</t>
  </si>
  <si>
    <t>NORTH-SOUTH ASYMMETRY; LONG-TERM TRENDS; GEOMAGNETIC-ACTIVITY; SEMIDIURNAL TIDE; MIDDLE ATMOSPHERE; UPPER MESOSPHERE; WIND SPEED; OSCILLATION; PERIODICITY; IONOSPHERE</t>
  </si>
  <si>
    <t>Geomagnetic data from five northern hemisphere observatories at latitudes ranging from 22 degrees N to 67 degrees N have been used to investigate long-term trends in planetary wave activity in the lower thermosphere. The data extends back over eight 11-year solar cycles. At quasi 10- and 16-day periods, there is no long-term change in planetary wave activity through the 20th century; decadal-scale variability reaching 25% peak-to-peak is observed. At the quasi 5-day period there is a steady decrease in activity totalling 15% through the 20th century. Additionally, there is a Hale '22-year' solar cycle modulation of similar to 20% peak-to-peak in the 5-day planetary wave activity at 22 degrees N which decreases in amplitude with increasing latitude. It is not clear what causative mechanism is responsible for this modulation which shows signs of breaking down at the very end of the century. (c) 2006 Elsevier Ltd. All rights reserved.</t>
  </si>
  <si>
    <t>Jarvis, MJ (corresponding author), British Antarctic Survey, Madingley Rd, Cambridge CB3 0ET, England.</t>
  </si>
  <si>
    <t>m.jarvis@bas.ac.uk</t>
  </si>
  <si>
    <t>1364-6826</t>
  </si>
  <si>
    <t>J ATMOS SOL-TERR PHY</t>
  </si>
  <si>
    <t>J. Atmos. Sol.-Terr. Phys.</t>
  </si>
  <si>
    <t>10.1016/j.jastp.2006.02.014</t>
  </si>
  <si>
    <t>Geochemistry &amp; Geophysics; Meteorology &amp; Atmospheric Sciences</t>
  </si>
  <si>
    <t>152FK</t>
  </si>
  <si>
    <t>WOS:000245346400006</t>
  </si>
  <si>
    <t>Gabis, I; Troshichev, O</t>
  </si>
  <si>
    <t>Gabis, I.; Troshichev, O.</t>
  </si>
  <si>
    <t>Influence of solar UV irradiance on the quasi-biennial oscillation of zonal winds in the equatorial stratosphere</t>
  </si>
  <si>
    <t>equatorial stratosphere; quasi-biennial oscillations; mean zonal winds; height wind profiles; solar UV irradiance; maximal ozone content layer</t>
  </si>
  <si>
    <t>SHORT-TERM CHANGES; NORTHERN-HEMISPHERE; ULTRAVIOLET VARIATIONS; GLOBAL STRATOSPHERE; MIDDLE ATMOSPHERE; CYCLE; QBO; OZONE; TEMPERATURE; MODULATION</t>
  </si>
  <si>
    <t>The vertical wind profiles in the equatorial stratosphere for 1953-2005 have been examined in relation to variations of solar F-10.7 index to reveal influence of solar UV irradiance on the quasi-biennial oscillation (QBO) of zonal winds. Previously it was shown (Gabis, I.P., Troshichev, O.A., 2005. QBO cycle identified by changes in height profile of the zonal winds: new regularities. Journal of Atmospheric and Solar-Terrestrial Physics 67, 33-44) that Stage 1, with the easterly winds above 20-30 hPa and westerly winds below this layer, always starts in solstice (winter or summer) and can be of different but quite quantized (about 3, 9, or 15 months) duration. The present investigation shows that course of the subsequent, after Stage 1 beginning, evolution of the zonal winds depends on intensity of solar UV flux. The easterly winds descend below similar to 30 hPa (Stage 2) only under condition of high level of the UV irradiance or steady increase of the UV flux happening in time of the first equinox in course of QBO cycle. If level of UV irradiance is low or UV flux decreases during the equinox, the easterly winds typical of the upper layer, do not descend below 30 hPa, and Stage 1 persists till next equinox. In other words, the stopping of easterly shear zone at similar to 30 hPa is defined by the level of UV irradiance in a proper time. Since the length of the QBO cycle is determined by duration of Stage 1, the cycle length (24, 30, or 36 months) can be predicted setting the time of transformation from Stage 1 to Stage 2. (c) 2006 Elsevier Ltd. All rights reserved.</t>
  </si>
  <si>
    <t>Troshichev, O (corresponding author), Arctic &amp; Antarctic Res Inst, St Petersburg 199226, Russia.</t>
  </si>
  <si>
    <t>gabis@aari.nw.ru; olegtro@aari.nw.ru</t>
  </si>
  <si>
    <t>1879-1824</t>
  </si>
  <si>
    <t>10.1016/j.jastp.2006.05.017</t>
  </si>
  <si>
    <t>WOS:000245346400015</t>
  </si>
  <si>
    <t>Damiani, A; Storini, M; Laurenza, M; Rafanelli, C; Piervitali, E; Cordaro, EG</t>
  </si>
  <si>
    <t>Damiani, A.; Storini, M.; Laurenza, M.; Rafanelli, C.; Piervitali, E.; Cordaro, E. G.</t>
  </si>
  <si>
    <t>Southern ozone variations induced by solar particle events during 15 January-5 February 2005</t>
  </si>
  <si>
    <t>Space Weather; ozone layer variability; solar energetic particles; Antarctic environment</t>
  </si>
  <si>
    <t>COSMIC-RAYS</t>
  </si>
  <si>
    <t>A preliminary analysis of effects induced on the high-latitude Southern ozone layer by the enhanced Space Weather storms of January 2005 is presented. Data from Earth Probe TOMS V.8, SAGE II and POAM III suggest short (hours) ozone depletions induced by the outstanding solar activity. Such ozone variabilities are investigated at the edge of the so-called polar cap region. (c) 2006 Elsevier Ltd. All rights reserved.</t>
  </si>
  <si>
    <t>CNR, Ist Sci Atmosfera &amp; Clima, Area Ric Roma Tor Vergata, I-00133 Rome, Italy; CNR, Ist Fis Spazio Interplanetario, Area Ric Roma Tor Vergata, I-00133 Rome, Italy; Univ Chile, Dept Phys, FCFM, Santiago, Chile</t>
  </si>
  <si>
    <t>Consiglio Nazionale delle Ricerche (CNR); Istituto di Scienze dell'Atmosfera e del Clima (ISAC-CNR); University of Rome Tor Vergata; University of Rome Tor Vergata; Istituto Nazionale Astrofisica (INAF); Consiglio Nazionale delle Ricerche (CNR); Universidad de Chile</t>
  </si>
  <si>
    <t>Damiani, A (corresponding author), CNR, Ist Sci Atmosfera &amp; Clima, Area Ric Roma Tor Vergata, Via Fosso Cavaliere 100, I-00133 Rome, Italy.</t>
  </si>
  <si>
    <t>a.damiani@isac.cnr.it</t>
  </si>
  <si>
    <t>Laurenza, Monica/HMD-8729-2023; Damiani, Alessandro/X-4677-2019</t>
  </si>
  <si>
    <t>Laurenza, Monica/0000-0001-5481-4534; Damiani, Alessandro/0000-0003-3014-6193</t>
  </si>
  <si>
    <t>10.1016/j.jastp.2006.03.010</t>
  </si>
  <si>
    <t>WOS:000245346400019</t>
  </si>
  <si>
    <t>Verma, K; Sudhakar, M</t>
  </si>
  <si>
    <t>Verma, Kamlesh; Sudhakar, M.</t>
  </si>
  <si>
    <t>Evidence of reworking and resuspension of carbonates during last glacial maximum and early deglacial period along the southwest coast of India</t>
  </si>
  <si>
    <t>JOURNAL OF EARTH SYSTEM SCIENCE</t>
  </si>
  <si>
    <t>Holocene; last glacial maximum (LGM); deglacial</t>
  </si>
  <si>
    <t>EASTERN ARABIAN SEA; OXYGEN MINIMUM ZONE; ORGANIC-CARBON; OCEAN SEDIMENTS; CONTINENTAL-MARGIN; WESTERN MARGIN; MONSOON; RECORD; FLUCTUATIONS; PRODUCTIVITY</t>
  </si>
  <si>
    <t>A gravity core collected from the upper slope of southwest of Quilon at a, water depth of 776m (Lat: 8 degrees 12'263N, Long: 76 degrees 28'281E) was analysed for texture (carbonate free), calcium carbonate and organic carbon. Variation in silicic fraction seems to be controlled by silt, i.e., enrichment from 15 ka BP to 10 ka BP and then constant in Holocene. Below 15 ka BP. the silicic fraction gets depleted compared to the Holocene section with a minimum around 21 ka BP. Clay content remains nearly constant except in the Holocene where it shows an enrichment. Carbonate content of less than 63 micron when computed by subtracting coarse fraction content. from the total carbonate suggests that the total carbonates are mainly concentrated in the finer fraction. All these carbonate phases show an inverse relationship with silicic fraction except in Holocene. Below 15 ka BP, CaCO3 dominates in sediments comprising more than 65%. such an increase is also seen in the coarse fraction. Coarse fraction from these sections contains abundant nodular type aggregates encrusting small forams. This period is marked by a high sedimentation rate comparable to Holocene. These parameters suggest that the productivity and precipitation have increased in the Holocene due to the intensification of the southwest monsoon. During the last glacial maximum and early deglacial period the high sedimentation rate indicates redeposition of the carbonates from the existing carbonate lithofacies situated between Quilon and Cape Comorin probably due to the slope instability.</t>
  </si>
  <si>
    <t>Natl Ctr Antarctic &amp; Ocean Res, Goa 403804, India</t>
  </si>
  <si>
    <t>Ministry of Earth Sciences (MoES) - India; National Centre for Polar and Ocean Research (NCPOR)</t>
  </si>
  <si>
    <t>Sudhakar, M (corresponding author), Natl Ctr Antarctic &amp; Ocean Res, Goa 403804, India.</t>
  </si>
  <si>
    <t>msudhakar@ncaor.org</t>
  </si>
  <si>
    <t>INDIAN ACADEMY SCIENCES</t>
  </si>
  <si>
    <t>0253-4126</t>
  </si>
  <si>
    <t>J EARTH SYST SCI</t>
  </si>
  <si>
    <t>J. Earth Syst. Sci.</t>
  </si>
  <si>
    <t>10.1007/s12040-006-0003-1</t>
  </si>
  <si>
    <t>Geosciences, Multidisciplinary; Multidisciplinary Sciences</t>
  </si>
  <si>
    <t>Geology; Science &amp; Technology - Other Topics</t>
  </si>
  <si>
    <t>120XJ</t>
  </si>
  <si>
    <t>WOS:000243119800007</t>
  </si>
  <si>
    <t>Emmert, JT; Hernandez, G; Jarvis, MJ; Niciejewski, RJ; Sipler, DP; Vennerstrom, S</t>
  </si>
  <si>
    <t>Emmert, J. T.; Hernandez, G.; Jarvis, M. J.; Niciejewski, R. J.; Sipler, D. P.; Vennerstrom, S.</t>
  </si>
  <si>
    <t>Climatologies of nighttime upper thermospheric winds measured by ground-based Fabry-Perot interferometers during geomagnetically quiet conditions: 2. High-latitude circulation and interplanetary magnetic field dependence</t>
  </si>
  <si>
    <t>JOURNAL OF GEOPHYSICAL RESEARCH-SPACE PHYSICS</t>
  </si>
  <si>
    <t>POLAR THERMOSPHERE; Y-COMPONENT; DYNAMICS EXPLORER-2; NEUTRAL CIRCULATION; NORTHWARD IMF; CAP; SIGNATURES; DIRECTION; SUBSTORM; MOTIONS</t>
  </si>
  <si>
    <t>We analyze upper thermospheric (similar to 250 km) nighttime horizontal neutral wind patterns, during geomagnetically quiet (Kp &lt; 3) conditions, over the following locations: South Pole (90 degrees S), Halley (76 degrees S, 27 degrees W), Millstone Hill (43 degrees N, 72 degrees W), Sondre Stromfjord (67 degrees N, 51 degrees W), and Thule (77 degrees N, 68 degrees W). We examine the wind patterns as a function of magnetic local time and latitude, solar cycle, day of year, and the dawn-dusk and north-south components of the interplanetary magnetic field (IMF B-y and B-z). In magnetic coordinates, the quiet time high-latitude wind patterns are dominated by antisunward flow over the polar cap, with wind speeds that generally increase with increasing solar extreme ultraviolet (EUV) irradiation. The winds are generally stronger during equinox than during winter, particularly over the South Pole in the direction of eastern longitudes. IMF By exerts a strong influence on the wind patterns, particularly in the midnight sector. During winter, By positive winds around midnight in the northern ( southern) hemisphere are directed more toward the dusk (dawn) sector, compared to corresponding By negative winds; this behavior is consistent with the By-dependence of statistical ionospheric convection patterns. The strength of the wind response to By tends to increase with increasing solar EUV irradiation, roughly in proportion to the increased wind speeds. Quiet time By effects are detectable at latitudes as low as that of Millstone Hill ( magnetic latitude 53 degrees N). Quiet time Bz effects are negligible except over the magnetic polar cap station of Thule.</t>
  </si>
  <si>
    <t>USN, Res Lab, EO Hulburt Ctr Space Res, Washington, DC 20375 USA; Univ Washington, Dept Earth &amp; Space Sci, Seattle, WA 98195 USA; British Antarctic Survey, Cambridge CB3 0ET, England; Univ Michigan, Space Phys Res Lab, Ann Arbor, MI 48109 USA; MIT, Haystack Observ, Westford, MA 01886 USA; Danish Natl Space Ctr, DK-2100 Copenhagen O, Denmark</t>
  </si>
  <si>
    <t>United States Department of Defense; United States Navy; Naval Research Laboratory; University of Washington; University of Washington Seattle; UK Research &amp; Innovation (UKRI); Natural Environment Research Council (NERC); NERC British Antarctic Survey; University of Michigan System; University of Michigan; Massachusetts Institute of Technology (MIT); Technical University of Denmark</t>
  </si>
  <si>
    <t>Emmert, JT (corresponding author), USN, Res Lab, EO Hulburt Ctr Space Res, Code 7643,4555 Overlook Ave SW, Washington, DC 20375 USA.</t>
  </si>
  <si>
    <t>john.emmert@nrl.navy.mil</t>
  </si>
  <si>
    <t>Vennerstrom, Susanne/0000-0001-8921-4002; Hernandez, Gonzalo/0000-0003-4245-8696</t>
  </si>
  <si>
    <t>Division Of Earth Sciences; Directorate For Geosciences [0836152] Funding Source: National Science Foundation; Natural Environment Research Council [bas010022] Funding Source: researchfish; NERC [bas010022] Funding Source: UKRI</t>
  </si>
  <si>
    <t>Division Of Earth Sciences; Directorate For Geosciences(National Science Foundation (NSF)NSF - Directorate for Geosciences (GEO)); Natural Environment Research Council(UK Research &amp; Innovation (UKRI)Natural Environment Research Council (NERC)); NERC(UK Research &amp; Innovation (UKRI)Natural Environment Research Council (NERC))</t>
  </si>
  <si>
    <t>2169-9380</t>
  </si>
  <si>
    <t>2169-9402</t>
  </si>
  <si>
    <t>J GEOPHYS RES-SPACE</t>
  </si>
  <si>
    <t>J. Geophys. Res-Space Phys.</t>
  </si>
  <si>
    <t>A12</t>
  </si>
  <si>
    <t>A12303</t>
  </si>
  <si>
    <t>10.1029/2006JA011949</t>
  </si>
  <si>
    <t>115PT</t>
  </si>
  <si>
    <t>WOS:000242746900007</t>
  </si>
  <si>
    <t>Emmert, JT; Faivre, ML; Hernandez, G; Jarvis, MJ; Meriwether, JW; Niciejewski, RJ; Sipler, DP; Tepley, CA</t>
  </si>
  <si>
    <t>Emmert, J. T.; Faivre, M. L.; Hernandez, G.; Jarvis, M. J.; Meriwether, J. W.; Niciejewski, R. J.; Sipler, D. P.; Tepley, C. A.</t>
  </si>
  <si>
    <t>Climatologies of nighttime upper thermospheric winds measured by ground-based Fabry-Perot interferometers during geomagnetically quiet conditions: 1. Local time, latitudinal, seasonal, and solar cycle dependence</t>
  </si>
  <si>
    <t>INTERPLANETARY MAGNETIC-FIELD; MILLSTONE HILL; NEUTRAL WINDS; F-REGION; EQUATORIAL THERMOSPHERE; OPTICAL OBSERVATIONS; GENERAL-CIRCULATION; POLAR-CAP; DYNAMICS; TEMPERATURES</t>
  </si>
  <si>
    <t>We analyze ground-based Fabry-Perot interferometer observations of upper thermospheric (similar to 250 km) horizontal neutral winds derived from Doppler shifts in the 630.0 nm ( red line) nightglow. The winds were measured over the following locations: South Pole (90 degrees S), Halley (76 degrees S, 27 degrees W), Arequipa (17S, 72 degrees W), Arecibo (18 degrees N, 67 degrees W), Millstone Hill (43 degrees N, 72 degrees W), Sondre Stromfjord (67 degrees N, 51 degrees W), and Thule (77 degrees N, 68 degrees W). We derive climatological quiet time (Kp &lt; 3) wind patterns as a function of local time, solar cycle, day of year, and the interplanetary magnetic field ( IMF), and provide parameterized representations of these patterns. At the high-latitude stations, and at Arequipa near the geomagnetic equator, wind speeds tend to increase with increasing solar extreme ultraviolet (EUV) irradiance. Over Millstone Hill and Arecibo, solar EUV has a negative effect on wind magnitudes. As represented by the 10.7 cm radio flux proxy, the solar EUV dependence of the winds at all latitudes is characterized by a saturation or weakening of the effect above moderate values (F-10.7 &gt; 150). The seasonal dependence of the winds is generally annual, but there are isolated cases in which a semiannual variation is observed. Within the austral winter, winds measured from the South Pole show a substantial intraseasonal variation only along longitudes directed toward the magnetic pole. IMF effects are described in a companion paper.</t>
  </si>
  <si>
    <t>USN, Res Lab, EO Hulburt Ctr Space Res, Washington, DC 20375 USA; Clemson Univ, Dept Phys &amp; Astron, Kinard Lab 312, Clemson, SC 29631 USA; Univ Washington, Dept Earth &amp; Space Sci, Seattle, WA 98195 USA; British Antarctic Survey, Cambridge CB3 0ET, England; Univ Michigan, Space Phys Res Lab, Ann Arbor, MI 48109 USA; MIT, Haystack Observ, Westford, MA 01886 USA; Cornell Univ, Arecibo Observ, Arecibo, PR 00612 USA</t>
  </si>
  <si>
    <t>United States Department of Defense; United States Navy; Naval Research Laboratory; Clemson University; University of Washington; University of Washington Seattle; UK Research &amp; Innovation (UKRI); Natural Environment Research Council (NERC); NERC British Antarctic Survey; University of Michigan System; University of Michigan; Massachusetts Institute of Technology (MIT); National Aeronautics &amp; Space Administration (NASA); Cornell University</t>
  </si>
  <si>
    <t>Hernandez, Gonzalo/0000-0003-4245-8696</t>
  </si>
  <si>
    <t>Directorate For Geosciences; Division Of Earth Sciences [0836152] Funding Source: National Science Foundation; Natural Environment Research Council [bas010022] Funding Source: researchfish; NERC [bas010022] Funding Source: UKRI</t>
  </si>
  <si>
    <t>Directorate For Geosciences; Division Of Earth Sciences(National Science Foundation (NSF)NSF - Directorate for Geosciences (GEO)); Natural Environment Research Council(UK Research &amp; Innovation (UKRI)Natural Environment Research Council (NERC)); NERC(UK Research &amp; Innovation (UKRI)Natural Environment Research Council (NERC))</t>
  </si>
  <si>
    <t>A12302</t>
  </si>
  <si>
    <t>10.1029/2006JA011948</t>
  </si>
  <si>
    <t>WOS:000242746900006</t>
  </si>
  <si>
    <t>Fairhead, VA; Amsler, CD; McClintock, JB; Baker, BJ</t>
  </si>
  <si>
    <t>Fairhead, Victoria A.; Amsler, Charles D.; McClintock, James B.; Baker, Bill J.</t>
  </si>
  <si>
    <t>Lack of defense or phlorotannin induction by UV radiation or mesograzers in Desmarestia anceps and D-menziesii (Phaeophyceae)</t>
  </si>
  <si>
    <t>JOURNAL OF PHYCOLOGY</t>
  </si>
  <si>
    <t>Antarctica; chemical defense; Desmarestia; grazing; herbivory; induction; phlorotannins; UV radiation</t>
  </si>
  <si>
    <t>KING GEORGE ISLAND; BROWN ALGAL PHLOROTANNINS; TISSUE-SPECIFIC INDUCTION; CHEMICAL DEFENSES; FUCUS-VESICULOSUS; NUTRIENT AVAILABILITY; ASSIMILATION EFFICIENCY; SUBLITTORAL MACROALGAE; ULTRAVIOLET-RADIATION; SIMULATED HERBIVORY</t>
  </si>
  <si>
    <t>Phlorotannins are polyphenoloic metabolites occurring only in the Phaeophyceae that have numerous putative primary roles (e.g. cell-wall construction and storage) as well as secondary metabolic roles, which include herbivore feeding deterrence and protection from UV radiation. The proposed role of phlorotannins in the defense against UV radiation is of particular importance in the Antarctic due to depletion of the stratospheric ozone layer in that area. Several studies of brown algae have found evidence of an induction response (the production of defensive metabolites, including phlorotannins) after grazing by various mesograzers, after simulated grazing/wounding, and after exposure to increases in UV radiation. This study aimed to determine if phlorotannin production or other defenses in two dominant, endemic Antarctic species (Desmarestia menziesii Montagne and Desmarestia anceps J. Agardh) could be induced by an increase in exposure to UV radiation or by natural and artificial grazing. An in situ experiment failed to detect any effect of UV radiation on phlorotannin concentrations in either species or on subsequent palatability in feeding bioassays. A laboratory-based experiment did not detect any effect of mesoherbivore grazing or simulated grazing (wounding) on palatability or the concentration of phlorotannins in D. menziesii. Instead, phlorotannin concentrations increased in all treatments in both experiments, consistent with an increase in overall resource availability due to an increase in available PAR compared with the in situ irradiance at the algal collection sites.</t>
  </si>
  <si>
    <t>Univ Alabama Birmingham, Dept Biol, Birmingham, AL 35294 USA; Univ S Florida, Dept Chem, Tampa, FL 33620 USA</t>
  </si>
  <si>
    <t>University of Alabama System; University of Alabama Birmingham; State University System of Florida; University of South Florida</t>
  </si>
  <si>
    <t>Amsler, CD (corresponding author), Univ Alabama Birmingham, Dept Biol, Birmingham, AL 35294 USA.</t>
  </si>
  <si>
    <t>amsler@uab.edu</t>
  </si>
  <si>
    <t>Baker, Bill/N-4312-2019</t>
  </si>
  <si>
    <t>Amsler, Charles/0000-0002-4843-3759</t>
  </si>
  <si>
    <t>0022-3646</t>
  </si>
  <si>
    <t>1529-8817</t>
  </si>
  <si>
    <t>J PHYCOL</t>
  </si>
  <si>
    <t>J. Phycol.</t>
  </si>
  <si>
    <t>10.1111/j.1529-8817.2006.00283.x</t>
  </si>
  <si>
    <t>116WR</t>
  </si>
  <si>
    <t>WOS:000242835000003</t>
  </si>
  <si>
    <t>Taton, A; Grubisic, S; Ertz, D; Hodgson, DA; Piccardi, R; Biondi, N; Tredici, MR; Mainini, M; Losi, D; Marinelli, F; Wilmotte, A</t>
  </si>
  <si>
    <t>Taton, Arnaud; Grubisic, Stana; Ertz, Damien; Hodgson, Dominic A.; Piccardi, Raffaella; Biondi, Natascia; Tredici, Mario R.; Mainini, Mariangela; Losi, Daniele; Marinelli, Flavia; Wilmotte, Annick</t>
  </si>
  <si>
    <t>Polyphasic study of Antarctic cyanobacterial strains</t>
  </si>
  <si>
    <t>Antarctic lakes; bioactive compounds; cyanobacteria; microbial mats; polyphasic characterization; rRNA operon</t>
  </si>
  <si>
    <t>16S RIBOSOMAL-RNA; MCMURDO DRY VALLEYS; MICROBIAL MATS; MORPHOLOGICAL CHARACTERIZATION; PHYLOGENETIC-RELATIONSHIPS; POTENTIAL SOURCE; DIVERSITY; CLASSIFICATION; COMMUNITIES; SEQUENCES</t>
  </si>
  <si>
    <t>We isolated 59 strains of cyanobacteria from the benthic microbial mats of 23 Antarctic lakes, from five locations in two regions, in order to characterize their morphological and genotypic diversity. On the basis of their morphology, the cyanobacteria were assigned to 12 species that included four Antarctic endemic taxa. Sequences of the ribosomal RNA gene were determined for 56 strains. In general, the strains closely related at the 16S rRNA gene level belonged to the same morphospecies. Nevertheless, divergences were observed concerning the diversity in terms of species richness, novelty, and geographical distribution. For the 56 strains, 21 operational taxonomic units (OTUs, defined as groups of partial 16S rRNA gene sequences with more than 97.5% similarity) were found, including nine novel and three exclusively Antarctic OTUs. Sequences of Petalonema cf. involvens and Chondrocystis sp. were determined for the first time. The internally transcribed spacer (ITS) between the 16S and the 23S rRNA genes was sequenced for 33 strains, and similar groupings were observed with the 16S rRNA gene and the ITS, even when the strains were derived from different lakes and regions. In addition, 48 strains were screened for antimicrobial and cytotoxic activities, and 17 strains were bioactive against the gram-positive Staphylococcus aureus, or the fungi Aspergillus fumigatus and Cryptococcus neoformans. The bioactivities were not in coincidence with the phylogenetic relationships, but rather were specific to certain strains.</t>
  </si>
  <si>
    <t>Univ Liege, Inst Chim B6, Ctr Ingn Prot, B-4000 Liege, Belgium; Univ Liege, Inst Bot B22, Lab Algol Mycol &amp; Systemat Expt, B-4000 Liege, Belgium; Jardin Bot Natl Belgique, Dept Bryophyta Thallophyta, B-1860 Meise, Belgium; British Antarctic Survey, Natl Environm Res Council, Cambridge CB3 0ET, England; Univ Florence, Dipartimento Biotecnol Agrarie, I-50144 Florence, Italy; Vicuron Pharmaceut, I-21040 Varese, Italy; Univ Insubria, Dipartimento Biotecnol &amp; Sci Mol, I-21100 Varese, Italy</t>
  </si>
  <si>
    <t>University of Liege; University of Liege; UK Research &amp; Innovation (UKRI); Natural Environment Research Council (NERC); NERC British Antarctic Survey; University of Florence; University of Insubria</t>
  </si>
  <si>
    <t>Wilmotte, A (corresponding author), Univ Liege, Inst Chim B6, Ctr Ingn Prot, B-4000 Liege, Belgium.</t>
  </si>
  <si>
    <t>awilmotte@ulg.ac.be</t>
  </si>
  <si>
    <t>Wilmotte, Annick/H-1686-2011; Biondi, Natascia/AFT-7835-2022; marinelli, flavia/H-2495-2012</t>
  </si>
  <si>
    <t>Biondi, Natascia/0000-0002-9718-973X; Wilmotte, Annick/0000-0003-3546-3489; marinelli, flavia/0000-0001-9195-6777</t>
  </si>
  <si>
    <t>10.1111/j.1529-8817.2006.00278.x</t>
  </si>
  <si>
    <t>WOS:000242835000012</t>
  </si>
  <si>
    <t>Hallberg, R; Gnanadesikan, A</t>
  </si>
  <si>
    <t>Hallberg, Robert; Gnanadesikan, Anand</t>
  </si>
  <si>
    <t>The role of eddies in determining the structure and response of the wind-driven southern hemisphere overturning: Results from the Modeling Eddies in the Southern Ocean (MESO) project</t>
  </si>
  <si>
    <t>ANTARCTIC CIRCUMPOLAR CURRENT; WATER-MASS TRANSFORMATION; LARGE-SCALE CIRCULATION; GENERAL-CIRCULATION; DRAKE PASSAGE; DIAPYCNAL DIFFUSION; MOMENTUM BALANCE; HEAT-TRANSPORT; EDDY TRANSFER; SENSITIVITY</t>
  </si>
  <si>
    <t>The Modeling Eddies in the Southern Ocean (MESO) project uses numerical sensitivity studies to examine the role played by Southern Ocean winds and eddies in determining the density structure of the global ocean and the magnitude and structure of the global overturning circulation. A hemispheric isopycnal-coordinate ocean model (which avoids numerical diapycnal diffusion) with realistic geometry is run with idealized forcing at a range of resolutions from coarse (2 degrees) to eddy-permitting (1/6 degrees). A comparison of coarse resolutions with fine resolutions indicates that explicit eddies affect both the structure of the overturning and the response of the overturning to wind stress changes. While the presence of resolved eddies does not greatly affect the prevailing qualitative picture of the ocean circulation, it alters the overturning cells involving the Southern Ocean transformation of dense deep waters and light waters of subtropical origin into intermediate waters. With resolved eddies, the surface-to-intermediate water cell extends farther southward by hundreds of kilometers and the deep-to-intermediate cell draws on comparatively lighter deep waters. The overturning response to changes in the winds is also sensitive to the presence of eddies. In noneddying simulations, changing the Ekman transport produces comparable changes in the overturning, much of it involving transformation of deep waters and resembling the mean circulation. In the eddy-permitting simulations, a significant fraction of the Ekman transport changes are compensated by eddy-induced transport drawing from lighter waters than does the mean overturning. This significant difference calls into question the ability of coarse-resolution ocean models to accurately capture the impact of changes in the Southern Ocean on the global ocean circulation.</t>
  </si>
  <si>
    <t>Princeton Univ, Geopohys Fluid Dynam Lab, Princeton, NJ 08542 USA</t>
  </si>
  <si>
    <t>Princeton University</t>
  </si>
  <si>
    <t>Hallberg, R (corresponding author), Princeton Univ, Geopohys Fluid Dynam Lab, Forrestal Campus,201 Forrestal Rd, Princeton, NJ 08542 USA.</t>
  </si>
  <si>
    <t>robert.hallberg@noaa.gov</t>
  </si>
  <si>
    <t>Gnanadesikan, Anand/A-2397-2008</t>
  </si>
  <si>
    <t>Gnanadesikan, Anand/0000-0001-5784-1116</t>
  </si>
  <si>
    <t>10.1175/JPO2980.1</t>
  </si>
  <si>
    <t>122DQ</t>
  </si>
  <si>
    <t>WOS:000243206300002</t>
  </si>
  <si>
    <t>Sime, LC; Stevens, DP; Heywood, KJ; Oliver, KIC</t>
  </si>
  <si>
    <t>Sime, Louise C.; Stevens, David P.; Heywood, Karen J.; Oliver, Kevin I. C.</t>
  </si>
  <si>
    <t>A decomposition of the Atlantic meridional overturning</t>
  </si>
  <si>
    <t>CENTER COUPLED MODEL; NORTH-ATLANTIC; HEAT-TRANSPORT; THERMOHALINE CIRCULATION; DECADAL VARIABILITY; OCEANIC FLUXES; WATER; MECHANISMS; SENSITIVITY; VERSION</t>
  </si>
  <si>
    <t>A decomposition of meridional overturning circulation (MOC) cells into geostrophic vertical shears, Ekman, and bottom pressure-dependent (or external mode) circulation components is presented. The decomposition requires the following information: 1) a density profile wherever bathymetry changes to construct the vertical shears component, 2) the zonal-mean zonal wind stress for the Ekman component, and 3) the mean depth-independent velocity information over each isobath to construct the external mode. The decomposition is applied to the third-generation Hadley Centre Coupled Ocean-Atmosphere General Circulation Model (HadCM3) to determine the meridional variability of these individual components within the Atlantic Ocean. The external mode component is shown to be extremely important where western boundary currents impinge on topography, and also in the area of the overflows. The Sverdrup balance explains the shape of the external mode MOC component to first order, but the time variability of the external mode exhibits only a very weak dependence on the wind stress curl. Thus, the Sverdrup balance cannot be used to determine the external mode changes when examining temporal change in the MOC. The vertical shears component allows the time-mean and the time-variable upper North Atlantic MOC cell to be deduced at 25 degrees S and 50 degrees N. A stronger dependency on the external mode and Ekman components between 8 degrees and 35 degrees N and in the regions of the overflows means that hydrographic sections need to be supplemented by bottom pressure and wind stress information at these latitudes. At the decadal time scale, variability in Ekman transport is less important than that in geostrophic shears. In the Southern Hemisphere the vertical shears component is dominant at all time scales, suggesting that hydrographic sections alone may be suitable for deducing change in the MOC at these latitudes.</t>
  </si>
  <si>
    <t>Univ E Anglia, Sch Environm Sci, Norwich NR4 7TJ, Norfolk, England; Univ E Anglia, Sch Math, Norwich NR4 7TJ, Norfolk, England</t>
  </si>
  <si>
    <t>University of East Anglia; University of East Anglia</t>
  </si>
  <si>
    <t>Sime, LC (corresponding author), British Antarctic Survey, Div Phys Sci, Cambridge CB3 0ET, England.</t>
  </si>
  <si>
    <t>lsim@bas.ac.uk</t>
  </si>
  <si>
    <t>Sime, Louise/AAX-7730-2021; Sime, Louise/F-8058-2012; Stevens, David/F-2509-2010; Heywood, Karen/L-1757-2016</t>
  </si>
  <si>
    <t>Sime, Louise/0000-0002-9093-7926; Sime, Louise/0000-0002-9093-7926; Stevens, David/0000-0002-7283-4405; Heywood, Karen/0000-0001-9859-0026</t>
  </si>
  <si>
    <t>10.1175/JPO2974.1</t>
  </si>
  <si>
    <t>WOS:000243206300003</t>
  </si>
  <si>
    <t>Holland, PR; Feltham, DL</t>
  </si>
  <si>
    <t>Holland, Paul R.; Feltham, Daniel L.</t>
  </si>
  <si>
    <t>The effects of rotation and ice shelf topography on frazil-laden ice shelf water plumes</t>
  </si>
  <si>
    <t>THERMOHALINE CIRCULATION; WEDDELL SEA; MODEL; BOTTOM; RONNE; ANTARCTICA; DYNAMICS; TEMPERATURE</t>
  </si>
  <si>
    <t>A model of the dynamics and thermodynamics of a plume of meltwater at the base of an ice shelf is presented. Such ice shelf water plumes may become supercooled and deposit marine ice if they rise (because of the pressure decrease in the in situ freezing temperature), so the model incorporates both melting and freezing at the ice shelf base and a multiple-size-class model of frazil ice dynamics and deposition. The plume is considered in two horizontal dimensions, so the influence of Coriolis forces is incorporated for the first time. It is found that rotation is extremely influential, with simulated plumes flowing in near-geostrophy because of the low friction at a smooth ice shelf base. As a result, an ice shelf water plume will only rise and become supercooled (and thus deposit marine ice) if it is constrained to flow upslope by topography. This result agrees with the observed distribution of marine ice under Filchner-Ronne Ice Shelf, Antarctica. In addition, it is found that the model only produces reasonable marine ice formation rates when an accurate ice shelf draft is used, implying that the characteristics of real ice shelf water plumes can only be captured using models with both rotation and a realistic topography.</t>
  </si>
  <si>
    <t>UCL, Ctr Ploar Observat &amp; Modelling, London, England</t>
  </si>
  <si>
    <t>University of London; University College London</t>
  </si>
  <si>
    <t>Holland, PR (corresponding author), British Antarctic Survey, Madingley Rd, Cambridge CB3 0ET, England.</t>
  </si>
  <si>
    <t>NERC [bas010013] Funding Source: UKRI; Natural Environment Research Council [bas010013] Funding Source: researchfish</t>
  </si>
  <si>
    <t>10.1175/JPO2970.1</t>
  </si>
  <si>
    <t>WOS:000243206300007</t>
  </si>
  <si>
    <t>Olguín, HF; Boltovskoy, D; Lange, CB; Brandini, F</t>
  </si>
  <si>
    <t>Olguin, Hector F.; Boltovskoy, Demetrio; Lange, Carina B.; Brandini, Frederico</t>
  </si>
  <si>
    <t>Distribution of spring phytoplankton (mainly diatoms) in the upper 50 m of the Southwestern Atlantic Ocean (30-61°S)</t>
  </si>
  <si>
    <t>JOURNAL OF PLANKTON RESEARCH</t>
  </si>
  <si>
    <t>BASIN-SCALE VARIABILITY; WESTERN SOUTH-ATLANTIC; COMPLEX BACILLARIOPHYCEAE; TINTINNIDS CILIOPHORA; SURFACE SEDIMENTS; BRAZIL; BIOGEOGRAPHY; CHLOROPHYLL; MORPHOLOGY; TAXONOMY</t>
  </si>
  <si>
    <t>This is the first study on diatom spatial patterns in relation to major oceanographic features along a megascale transect in the Southwestern Atlantic Ocean and provides a comparison with diatom distribution in surface sediments. Absolute abundances of diatoms, silicoflagellates and dinoflagellates (&gt; 10-mu m fraction) were assessed in 80 bottle samples from 5 to 50 m, retrieved in November 1993 at 20 stations (30-61 degrees S) along 53 degrees W. Siliceous phytoplankton were scarce in the northern half of the transect and in the south of 57 degrees S (100-150 cells L-1), with a strong peak in the vicinity of the Polar Front (similar to 200 000 cells L-1), whereas dinoflagellates were more abundant at the northern stations (up to 24 000 cells L-1). In the south of 50 degrees S phytoplanktonic cell densities were loosely (but significantly, r = 0.54, P &lt; 0.01) associated with chlorophyll a, whereas in the north of this latitude, this relationship disappeared (r = 0.018, P &gt; 0.1). In total, 191 diatoms and 4 silicoflagellates were recorded. Changes in diatom assemblage compositions along the transect allowed identification of five discrete areas: Subtropical (29 degrees S), Northern Transitional (34-41 degrees S), Southern Transitional (43-48 degrees S), Subantarctic (49-54 degrees S) and Antarctic (55-59 degrees S), each characterized by a set of typical species. Diversity changed little with latitude, but numbers of species were higher in the north of 40 degrees S. Comparison of diatom assemblage makeup in the plankton and in the surface sediments shows very strong disagreements, whereby cold water species are very significantly over-represented in the sedimentary record, suggesting enhanced preservation and strong subsurface equatorward advection of the cold water taxa.</t>
  </si>
  <si>
    <t>Univ Buenos Aires, Fac Ciencias Exactas &amp; Nat, RA-1428 Buenos Aires, DF, Argentina; Museo Argentino Ciencias Nat Bernardino Rivadavia, RA-1405 Buenos Aires, DF, Argentina; Consejo Nacl Invest Cient &amp; Tecn, RA-1033 Buenos Aires, DF, Argentina; Univ Concepcion, Dept Oceanog, Concepcion, Chile; Univ Concepcion, Ctr Invest Oceanog El Pacifico, Concepcion, Chile; Univ Fed Parana, Ctr Estudos Do Mar, BR-83255000 Pontal Do Sul, PR, Brazil</t>
  </si>
  <si>
    <t>University of Buenos Aires; Museo Argentino de Ciencias Naturales Bernardino Rivadavia (MACN); Consejo Nacional de Investigaciones Cientificas y Tecnicas (CONICET); Universidad de Concepcion; Universidad de Concepcion; Universidade Federal do Parana</t>
  </si>
  <si>
    <t>Olguín, HF (corresponding author), Univ Buenos Aires, Fac Ciencias Exactas &amp; Nat, RA-1428 Buenos Aires, DF, Argentina.</t>
  </si>
  <si>
    <t>holguin@ege.fcen.uba.ar</t>
  </si>
  <si>
    <t>Lange, Carina/AHC-2015-2022; Brandini, Frederico/C-9402-2012; Boltovskoy, Demetrio/ITA-5729-2023</t>
  </si>
  <si>
    <t>Lange, Carina/0000-0002-2916-4207; Brandini, Frederico/0000-0002-3177-4274; Boltovskoy, Demetrio/0000-0003-3484-2954</t>
  </si>
  <si>
    <t>0142-7873</t>
  </si>
  <si>
    <t>1464-3774</t>
  </si>
  <si>
    <t>J PLANKTON RES</t>
  </si>
  <si>
    <t>J. Plankton Res.</t>
  </si>
  <si>
    <t>10.1093/plankt/fbl045</t>
  </si>
  <si>
    <t>145BM</t>
  </si>
  <si>
    <t>WOS:000244840300001</t>
  </si>
  <si>
    <t>Yebra, L; Hirst, AG; Hernández-León, S</t>
  </si>
  <si>
    <t>Yebra, L.; Hirst, A. G.; Hernandez-Leon, S.</t>
  </si>
  <si>
    <t>Assessment of Calanus finmarchicus growth and dormancy using the aminoacyl-tRNA synthetases method</t>
  </si>
  <si>
    <t>SECONDARY PRODUCTION; PROTEIN-SYNTHESIS; COPEPOD GROWTH; ARTEMIA-SALINA; BODY-WEIGHT; RATES; HELGOLANDICUS; SIZE; TOOL; SEA</t>
  </si>
  <si>
    <t>We obtained growth rates of the copepod Calanus finmarchicus at different locations across the North Atlantic between May 1998 and June 2004. Animals were incubated for 2-9 days and fed either with natural food assemblages or with cultured algae. During this period, we measured both somatic weight-specific growth rates (measured as protein change) and aminoacyl-tRNA synthetases (AARS) activity. We found a highly significant relationship between AARS activity and growth in protein content (R-2 = 0.55, P &lt; 0.001). Significant AARS activity also occurred when growth was negative, the relationship predicting an AARS activity level of &lt;= 8.33 nmPPi.mg protein(-1).h(-1) when somatic growth is zero. This is because AARS activity is expected even when growth is negative, owing to the continued protein turnover in the cells. The AARS method allowed for the first time the study of protein metabolism in overwintering C. finmarchicus. Our study results showed that overwintering copepods had significantly lower values of AARS activity than non-diapausing animals (t = -3.51, P &lt; 0.002). The AARS method opens the possibility to better understand physiology dynamics of deep-water organisms (e.g. the beginning and end of diapause).</t>
  </si>
  <si>
    <t>Plymouth Marine Lab, Plymouth PL1 3DH, Devon, England; British Antarctic Survey, Cambridge CB3 0ET, England; Univ Las Palmas Gran Canaria, Fac Ciencias Mar, Biol Oceanog Lab, Las Palmas Gran Canaria, Spain</t>
  </si>
  <si>
    <t>Plymouth Marine Laboratory; UK Research &amp; Innovation (UKRI); Natural Environment Research Council (NERC); NERC British Antarctic Survey; Universidad de Las Palmas de Gran Canaria</t>
  </si>
  <si>
    <t>Yebra, L (corresponding author), CSIC, Inst Ciencias Mar, Passeig Maritim Barceloneta 37-49, E-08003 Barcelona, Spain.</t>
  </si>
  <si>
    <t>lyebra@icm.csic.es</t>
  </si>
  <si>
    <t>Yebra, Lidia/C-1667-2016; Hirst, Andrew G/A-6296-2013; Yebra, Lidia/AAV-4112-2020; Hernández-León, Santiago/M-2563-2014</t>
  </si>
  <si>
    <t>Yebra, Lidia/0000-0001-6399-299X; Yebra, Lidia/0000-0001-6399-299X; Hirst, Andrew/0000-0001-9132-1886; Hernandez-Leon, Santiago/0000-0002-3085-4969</t>
  </si>
  <si>
    <t>10.1093/plankt/fbl049</t>
  </si>
  <si>
    <t>WOS:000244840300007</t>
  </si>
  <si>
    <t>[Anonymous]</t>
  </si>
  <si>
    <t>Australia studies the impacts of people and penguins in the Antarctic</t>
  </si>
  <si>
    <t>MARINE POLLUTION BULLETIN</t>
  </si>
  <si>
    <t>0025-326X</t>
  </si>
  <si>
    <t>1879-3363</t>
  </si>
  <si>
    <t>MAR POLLUT BULL</t>
  </si>
  <si>
    <t>Mar. Pollut. Bull.</t>
  </si>
  <si>
    <t>Environmental Sciences; Marine &amp; Freshwater Biology</t>
  </si>
  <si>
    <t>121CY</t>
  </si>
  <si>
    <t>WOS:000243136900002</t>
  </si>
  <si>
    <t>Stark, JS; Johnstone, GJ; Palmer, AS; Snape, I; Larner, BL; Riddle, MJ</t>
  </si>
  <si>
    <t>Stark, Jonathan S.; Johnstone, Glenn J.; Palmer, Anne S.; Snape, Ian; Larner, Bronwyn L.; Riddle, Martin J.</t>
  </si>
  <si>
    <t>Monitoring the remediation of a near shore waste disposal site in Antarctica using the amphipod Paramoera walkeri and diffusive gradients in thin films (DGTs)</t>
  </si>
  <si>
    <t>biomonitor; Paramoera walkeri; Antarctica; metals; DGTs; environmental impact</t>
  </si>
  <si>
    <t>SOFT-SEDIMENT ASSEMBLAGES; HEAVY-METAL CONTAMINATION; CASEY STATION; TRACE-METALS; EAST ANTARCTICA; ALLORCHESTES-COMPRESSA; HUMAN IMPACTS; SEA-WATER; MARINE; COPPER</t>
  </si>
  <si>
    <t>The water quality of a marine embayment (Brown Bay) was monitored during the remediation of an abandoned waste disposal site at Casey Station, East Antarctica, using a combination of biomonitoring and chemical methods. The Antarctic amphipod Paramoera walkeri, in field mesocosms suspended in the water column, was deployed adjacent to the site and at two reference sites for periods of 14 days, repeated three times during the remediation period (December to February). Diffusive gradients in thin film (DGT) samplers were deployed for the same periods to provide estimates of dissolved metals. No difference in mortality of amphipods was observed between Brown Bay, and reference sites. There were significant differences, however, in accumulated metal concentrations between amphipods from Brown Bay and reference sites, with greater concentrations of antimony, copper, cadmium, lead, iron and tin at Brown Bay. The melt water/runoff treatment strategy employed for the remediation was successful in preventing acute toxic effects, but water quality was reduced at Brown Bay, where increased metal bioavailability may have been high enough to induce chronic effects in some biota. DGT samplers were less sensitive than amphipods in detecting differences in metal concentrations between sites, indicating that metals bound to suspended particulates were a potentially significant source of contamination. (c) 2006 Elsevier Ltd. All rights reserved.</t>
  </si>
  <si>
    <t>Australian Antarctic Div, DEH, Kingston, Tas 7050, Australia; Univ Tasmania, Sch Chem, ACROSS, Hobart, Tas 7001, Australia; Univ Tasmania, Sch Chem, Launceston, Tas 7250, Australia</t>
  </si>
  <si>
    <t>Australian Antarctic Division; University of Tasmania; University of Tasmania</t>
  </si>
  <si>
    <t>Stark, JS (corresponding author), Australian Antarctic Div, DEH, Channel Highway, Kingston, Tas 7050, Australia.</t>
  </si>
  <si>
    <t>jonny.stark@aad.gov.au</t>
  </si>
  <si>
    <t>Stark, Jonathan/ABF-4025-2020</t>
  </si>
  <si>
    <t>Stark, Jonathan/0000-0002-4268-8072; Johnstone, Glenn/0000-0002-9302-4794</t>
  </si>
  <si>
    <t>10.1016/j.marpolbul.2006.05.020</t>
  </si>
  <si>
    <t>WOS:000243136900015</t>
  </si>
  <si>
    <t>Conlan, KE; Rau, GH; Kvitek, RG</t>
  </si>
  <si>
    <t>Conlan, Kathleen E.; Rau, Greg H.; Kvitek, Rikk G.</t>
  </si>
  <si>
    <t>δ13C and δ15N shifts in benthic invertebrates exposed to sewage from McMurdo Station, Antarctica</t>
  </si>
  <si>
    <t>stable isotopes; sewage; benthos; bioindicators; McMurdo Station; Antarctica</t>
  </si>
  <si>
    <t>FOOD-WEB; TROPHIC RELATIONSHIPS; CHEMICAL DEFENSE; SOUND; NITROGEN; FISH; DIET; ECHINODERMATA; SIGNATURES; POLLUTION</t>
  </si>
  <si>
    <t>In an effort to identify biomonitors for contamination of Antarctic marine benthos by sewage, this study determines whether the US Antarctic Program's McMurdo Station produces a benthic sewage footprint and whether resident megafauna are assimilating sewage-derived material. We identified strong C and N isotopic gradients in benthic sediment as a function of downstream distance from McMurdo Station's point-source sewage addition. Sediment C and N isotope ratios approached marine background levels at the sampling end-point 612 m downcurrent. Based on isotope abundances in their tissues, at least some sewage C and N were assimilated by the sedentary, suspension feeding soft coral Alcyonium antarcticum, ascidian Cnemidocarpa verrucosa and bivalve Laternula elliptica. However, as inferred by tissue-sediment differences in downstream isotope trends, such assimilation was not in proportion to sewage exposure and input, therefore implying non-generalist feeding behavior by these species. In contrast, the motile, generalist feeding sea urchin Sterechinus neumayeri, sea star Odontaster validus and ribbon worm Parborlasia corrugatus showed isotopic evidence of sewage C and N assimilation roughly in proportion to sewage input. We recommend these generalist feeders for further use as biomonitors at this site now that sewage treatment has been implemented. As these species are circumpolar in distribution, they may also prove useful elsewhere in the Antarctic. (c) 2006 Elsevier Ltd. All rights reserved.</t>
  </si>
  <si>
    <t>Canadian Museum Nat, Ottawa, ON K1P 6P4, Canada; Univ Calif Santa Cruz, Inst Marine Sci, Santa Cruz, CA 95064 USA; Calif State Univ Monterey Bay, Seaside, CA 93955 USA</t>
  </si>
  <si>
    <t>University of California System; University of California Santa Cruz; California State University System; California State University Monterey Bay</t>
  </si>
  <si>
    <t>Conlan, KE (corresponding author), Canadian Museum Nat, POB 3443,Stn D, Ottawa, ON K1P 6P4, Canada.</t>
  </si>
  <si>
    <t>kconlan@mus-nature.ca</t>
  </si>
  <si>
    <t>10.1016/j.marpolbul.2006.06.010</t>
  </si>
  <si>
    <t>WOS:000243136900024</t>
  </si>
  <si>
    <t>Zane, L; Marcato, S; Bargelloni, L; Bortolotto, E; Papetti, C; Simonato, M; Varotto, V; Patarnello, T</t>
  </si>
  <si>
    <t>Zane, L.; Marcato, S.; Bargelloni, L.; Bortolotto, E.; Papetti, C.; Simonato, M.; Varotto, V.; Patarnello, T.</t>
  </si>
  <si>
    <t>Demographic history and population structure of the Antarctic silverfish Pleuragramma antarcticum</t>
  </si>
  <si>
    <t>MOLECULAR ECOLOGY</t>
  </si>
  <si>
    <t>D-loop; genetic differentiation; mitochondrial DNA; Pleuragramma antarcticum; population expansion; Southern Ocean</t>
  </si>
  <si>
    <t>MITOCHONDRIAL CONTROL REGION; TERRA-NOVA BAY; EVOLUTION; PERCIFORMES; ATLANTIC; PATTERNS; GENE; NOTOTHENIOIDEI; PHYLOGEOGRAPHY; TOOTHFISH</t>
  </si>
  <si>
    <t>The Antarctic silverfish Pleuragramma antarcticum (Nototheniidae) is the most abundant pelagic fish inhabiting Antarctic waters. In this study we investigated, through partial sequencing of the D-loop mitochondrial region, samples collected at four different locations in the Southern Ocean, three in the Atlantic and one in the Pacific sector. Sampling was replicated in two different years at two locations. Sequence analysis showed a remarkably high polymorphism, with 110 haplotypes over the 256 investigated specimens, and about 80% of haplotypes occurring only once. Neutrality tests indicated that all samples were not at mutation-drift equilibrium, and suggested a past population expansion. This result was supported by the presence of a star-like topology in the D-loop gene tree, and by results of mismatch distribution. The start of the expansion was dated, using a specifically calibrated clock, between 111 and 126 thousand years ago. This value corresponds to the start of the cooling period that led to the last glaciation peak, and is in close agreement with a recently suggested range expansion for pelagic Antarctic ecosystems. Analysis of molecular variation indicated a small, though highly significant, value of differentiation between samples. This result, together with the lack of association between clades and geographical locations, indicates a weak population structure for the species.</t>
  </si>
  <si>
    <t>Univ Padua, Dipartimento Biol, I-35121 Padua, Italy; Univ Padua, Dipartimento Sanita Pubbl Patol Comparata &amp; Igien, Agripolis, I-35020 Legnaro, Pd, Italy; Univ Padua, Dipartimento Agron Ambientale &amp; Prod Vegetali Ent, Agripolis, I-35020 Legnaro, Pd, Italy</t>
  </si>
  <si>
    <t>University of Padua; University of Padua; University of Padua</t>
  </si>
  <si>
    <t>Patarnello, T (corresponding author), Univ Padua, Dipartimento Biol, Via G Colombo 3, I-35121 Padua, Italy.</t>
  </si>
  <si>
    <t>patarnel@civ.bio.unipd.it</t>
  </si>
  <si>
    <t>Zane, Lorenzo/G-6249-2010</t>
  </si>
  <si>
    <t>Zane, Lorenzo/0000-0002-6963-2132; PATARNELLO, Tomaso/0000-0003-1794-5791; Papetti, Chiara/0000-0002-4567-459X</t>
  </si>
  <si>
    <t>0962-1083</t>
  </si>
  <si>
    <t>1365-294X</t>
  </si>
  <si>
    <t>MOL ECOL</t>
  </si>
  <si>
    <t>Mol. Ecol.</t>
  </si>
  <si>
    <t>10.1111/j.1365-294X.2006.03105.x</t>
  </si>
  <si>
    <t>Biochemistry &amp; Molecular Biology; Ecology; Evolutionary Biology</t>
  </si>
  <si>
    <t>Biochemistry &amp; Molecular Biology; Environmental Sciences &amp; Ecology; Evolutionary Biology</t>
  </si>
  <si>
    <t>105OZ</t>
  </si>
  <si>
    <t>WOS:000242042800015</t>
  </si>
  <si>
    <t>Thorn, VC</t>
  </si>
  <si>
    <t>Thorn, Vanessa C.</t>
  </si>
  <si>
    <t>Vegetation reconstruction from soil phytoliths, Tongariro National Park, New Zealand</t>
  </si>
  <si>
    <t>NEW ZEALAND JOURNAL OF BOTANY</t>
  </si>
  <si>
    <t>phytoliths; palaeoecology; biogenic silica; New Zealand; Tongariro National Park</t>
  </si>
  <si>
    <t>LATE QUATERNARY ENVIRONMENTS; CENTRAL NORTH-ISLAND; LOWER TAIERI PLAIN; MT HAUHUNGATAHI; PALEOENVIRONMENTAL RECONSTRUCTION; QUANTITATIVE RECONSTRUCTION; BIOGENIC SILICA; SOUTH ISLAND; ASSEMBLAGES; HOLOCENE</t>
  </si>
  <si>
    <t>Phytoliths are microscopic particles of opaline silica (SiO2.nH(2)O) formed by the accumulation and solidification of siliceous gel between and within the cells of many plants. Soil surface phytolith assemblages are assessed for their potential to accurately reconstruct the overlying vegetation community within the subalpine zone of Tongariro National Park, New Zealand. The results provide important new evidence that phytoliths are an under-exploited tool for reconstructing past vegetation patterns. A new technique has been developed to quantitatively compare phytolith supply with accumulation. From four study sites, plants and soil were collected for phytollith extraction, and vegetation height and canopy cover were surveyed. The results indicate that at three of the four sites, source vegetation could be satsifactorily reconstructed at a broad community level from the dispersed soil phytolith record implying similar expectations for the application of this technique to the fossil phytolith record.</t>
  </si>
  <si>
    <t>Thorn, VC (corresponding author), Univ Leeds, Sch Earth &amp; Environm, Leeds LS2 9JT, W Yorkshire, England.</t>
  </si>
  <si>
    <t>Bowman, Vanessa/0000-0002-4887-3949</t>
  </si>
  <si>
    <t>0028-825X</t>
  </si>
  <si>
    <t>1175-8643</t>
  </si>
  <si>
    <t>NEW ZEAL J BOT</t>
  </si>
  <si>
    <t>N. Z. J. Bot.</t>
  </si>
  <si>
    <t>10.1080/0028825X.2006.9513031</t>
  </si>
  <si>
    <t>132NA</t>
  </si>
  <si>
    <t>WOS:000243948300004</t>
  </si>
  <si>
    <t>Andrew, JAM; Leach, H; Woodworth, PL</t>
  </si>
  <si>
    <t>Andrew, Jennifer A. M.; Leach, Harry; Woodworth, Philip L.</t>
  </si>
  <si>
    <t>The relationships between tropical Atlantic sea level variability and major climate indices</t>
  </si>
  <si>
    <t>OCEAN DYNAMICS</t>
  </si>
  <si>
    <t>tropical Atlantic sea levels; tropical Atlantic climate connections; Atlantic-ENSO connections; Atlantic biennial variability</t>
  </si>
  <si>
    <t>NINO-SOUTHERN-OSCILLATION; SST GRADIENT; TIDE GAUGES; OCEAN; REGION; MODE; TEMPERATURES; ALTIMETRY; PROGRAM; PIRATA</t>
  </si>
  <si>
    <t>Relationships were examined between variability in tropical Atlantic sea level and major climate indices with the use of TOPEX/POSEIDON altimeter and island tide gauge data with the aim of learning more about the external influences on the variability of the tropical Atlantic ocean. Possible important connections were found between indices related to the El Nino-Southern Oscillation (ENSO) and the sea levels in all three tropical regions (north, equatorial, and south), although the existence of only one major ENSO event within the decade of available altimetry means that a more complete investigation of the ENSO-dependence of Atlantic sea level changes has to await for the compilation of longer data sets. An additional link was found with the Indian Ocean Dipole (IOD) in the equatorial region, this perhaps surprising observation is probably an artifact of the similarity between IOD and ENSO time series in the 1990s. No evidence was obtained for significant correlations between tropical Atlantic sea level and North Atlantic Oscillation or Antarctic Oscillation Index. The most intriguing relationship observed was between the Quasi-Biennial Oscillation and sea level in a band centered approximately on 10 degrees S. A plausible explanation for the relationship is lacking, but possibilities for further research are suggested.</t>
  </si>
  <si>
    <t>Proudman Oceanog Lab, Liverpool L3 5DA, Merseyside, England; Univ Liverpool, Dept Earth &amp; Ocean Sci, Liverpool L69 3GP, Merseyside, England</t>
  </si>
  <si>
    <t>NERC National Oceanography Centre; University of Liverpool</t>
  </si>
  <si>
    <t>Woodworth, PL (corresponding author), Proudman Oceanog Lab, Joseph Proudman Bldg,6 Brownlow St, Liverpool L3 5DA, Merseyside, England.</t>
  </si>
  <si>
    <t>plw@pol.ac.uk</t>
  </si>
  <si>
    <t>Leach, Harry/0000-0003-1774-5167; Woodworth, Philip/0000-0002-6681-239X</t>
  </si>
  <si>
    <t>1616-7341</t>
  </si>
  <si>
    <t>1616-7228</t>
  </si>
  <si>
    <t>OCEAN DYNAM</t>
  </si>
  <si>
    <t>Ocean Dyn.</t>
  </si>
  <si>
    <t>10.1007/s10236-006-0068-z</t>
  </si>
  <si>
    <t>121XI</t>
  </si>
  <si>
    <t>WOS:000243189900007</t>
  </si>
  <si>
    <t>Panteleev, GG; Koshlyakov, MN; Morozov, EG; Tarakanov, RY; Goldin, AY; Shcherbina, AY; Ikeda, M</t>
  </si>
  <si>
    <t>Panteleev, G. G.; Koshlyakov, M. N.; Morozov, E. G.; Tarakanov, R. Yu.; Goldin, A. Yu.; Shcherbina, A. Yu.; Ikeda, M.</t>
  </si>
  <si>
    <t>Numerical modeling of currents in the Drake Passage with assimilation of the experimental data of 2003</t>
  </si>
  <si>
    <t>OCEANOLOGY</t>
  </si>
  <si>
    <t>ANTARCTIC CIRCUMPOLAR CURRENT; OCEAN CIRCULATION; BRANSFIELD STRAIT; WEDDELL SEA; VARIABILITY; TRANSPORT; WATER</t>
  </si>
  <si>
    <t>Computation of ocean currents in the Drake Passage is carried out with variational assimilation of the data of the hydrographical section across the Drake Passage carried out on December 11 - 15, 2003, and other data. A stream- eddy structure of the easterly Antarctic Circumpolar Current and a westerly current on the Antarctic Slope are obtained. Water transports by the different current field components and the integral transport across the Drake Passage are estimated. The necessity of direct current measurements in the Drake Passage for a correct estimate of the transport is confirmed.</t>
  </si>
  <si>
    <t>Russian Acad Sci, PP Shirshov Oceanol Inst, Moscow, Russia; Int Arctic Res Ctr, Fairbanks, AK USA; Woods Hole Oceanog Inst, Woods Hole, MA 02543 USA; Hokkaido Univ, Sapporo, Hokkaido, Japan</t>
  </si>
  <si>
    <t>Russian Academy of Sciences; Shirshov Institute of Oceanology; Woods Hole Oceanographic Institution; Hokkaido University</t>
  </si>
  <si>
    <t>Panteleev, GG (corresponding author), Russian Acad Sci, PP Shirshov Oceanol Inst, Moscow, Russia.</t>
  </si>
  <si>
    <t>Morozov, Eugene G/L-3023-2018; Tarakanov, Roman/R-3325-2016</t>
  </si>
  <si>
    <t>Tarakanov, Roman/0000-0002-8711-1859; Shcherbina, Andrey/0000-0002-4246-487X; Morozov, Eugene/0000-0002-0251-3454</t>
  </si>
  <si>
    <t>0001-4370</t>
  </si>
  <si>
    <t>OCEANOLOGY+</t>
  </si>
  <si>
    <t>Oceanology</t>
  </si>
  <si>
    <t>10.1134/S0001437006060026</t>
  </si>
  <si>
    <t>156MJ</t>
  </si>
  <si>
    <t>WOS:000245652500002</t>
  </si>
  <si>
    <t>Dunaev, NN; Merklin, LR</t>
  </si>
  <si>
    <t>Dunaev, N. N.; Merklin, L. R.</t>
  </si>
  <si>
    <t>Geophysical, geological, and geomorphological studies from the R/V akademik Sergei!Vavilov in the northwest Antarctic</t>
  </si>
  <si>
    <t>Russian Acad Sci, PP Shirshov Oceanol Inst, Moscow, Russia</t>
  </si>
  <si>
    <t>Russian Academy of Sciences; Shirshov Institute of Oceanology</t>
  </si>
  <si>
    <t>Dunaev, NN (corresponding author), Russian Acad Sci, PP Shirshov Oceanol Inst, Moscow, Russia.</t>
  </si>
  <si>
    <t>Dunaev, Nikolay/S-1510-2016</t>
  </si>
  <si>
    <t>10.1134/S0001437006060154</t>
  </si>
  <si>
    <t>WOS:000245652500015</t>
  </si>
  <si>
    <t>Loreto, FM; Della Vedova, B; Accaino, F; Tinivella, U; Accettella, D</t>
  </si>
  <si>
    <t>Loreto, Filomena M.; Della Vedova, Bruno; Accaino, Flavio; Tinivella, Umberta; Accettella, Daniela</t>
  </si>
  <si>
    <t>Shallow geological structures of the south Shetland Trench, Antarctic Peninsula</t>
  </si>
  <si>
    <t>OFIOLITI</t>
  </si>
  <si>
    <t>GeoItalia 2005 Meeting</t>
  </si>
  <si>
    <t>SEP, 2005</t>
  </si>
  <si>
    <t>ITALY</t>
  </si>
  <si>
    <t>morpho-structures; oblique fault systems; transform faults; differential sinking; passive subduction; Phoenix Plate</t>
  </si>
  <si>
    <t>SUBDUCTION EROSION; PLATE MOTIONS; MARGIN; RIDGE; TECTONICS; CHILE; MODEL; SEGMENTATION; ACCRETIONARY; DEFORMATION</t>
  </si>
  <si>
    <t>In order to study the differential passive subduction among the three oceanic segments of the Phoenix Plate remnant, the R/V OGS-Explora acquired new geophysical data in the South Shetland Trench (offshore to the Antarctic Peninsula). An integrated geophysical dataset was acquired in the trench across the incoming oceanic plate segmented by the D and E oceanic Fracture Zones, and along the frontal part of the Antarctic Peninsula accretionary prism. We present here a high resolution multibeam bathymetry map, Chirp sub-bottom profiles and marine magnetic data to study changes in the deformational style along strike and to better understand features and processes of passive subduction. The new multibeam image and Chirp data display in detail shallow structures affecting the seafloor as a response to crustal deformation. Normal faults, bounding horst and graben structures cutting the incoming plate, are detected and characterized by variable orientation with respect to the inferred D and E Fracture Zones. Normal faults, width and depth of the trench and morphology of the frontal prism are related to bending and roll-back of the Phoenix Plate, and to inherited structural discontinuities. Some of these oblique faults offset the seafloor, with variable throws and with local dip changes. The orientation of the oblique faults, the different depth of the three oceanic segments and narrowing and deepening of the trench indicate that differential coupling between the Hero, Shackleton, E and D Fracture Zones may locally modify the regional stress field orientation and the sinking of each oceanic segment, during bending and roll-back.</t>
  </si>
  <si>
    <t>Ist Nazl Oceanog &amp; Geofis Sperimentale, Trieste, Italy; Univ Trieste, DICA, I-34127 Trieste, Italy</t>
  </si>
  <si>
    <t>Istituto Nazionale di Oceanografia e di Geofisica Sperimentale; University of Trieste</t>
  </si>
  <si>
    <t>Loreto, FM (corresponding author), Ist Nazl Oceanog &amp; Geofis Sperimentale, Trieste, Italy.</t>
  </si>
  <si>
    <t>mfloreto@ogs.trieste.it</t>
  </si>
  <si>
    <t>Tinivella, Umberta/AAF-3133-2020</t>
  </si>
  <si>
    <t>Tinivella, Umberta/0000-0002-1588-6452; Accaino, Flavio/0000-0003-3512-2457; Loreto, Maria Filomena/0000-0003-1960-8684</t>
  </si>
  <si>
    <t>FIRENZE</t>
  </si>
  <si>
    <t>DIPARTIMENTO DI SCIENZE DELLA TERRA, UNIVERSITA DI FIRENZE, VIA G LA PIRA 4,, 50121 FIRENZE, ITALY</t>
  </si>
  <si>
    <t>0391-2612</t>
  </si>
  <si>
    <t>Ofioliti</t>
  </si>
  <si>
    <t>123XO</t>
  </si>
  <si>
    <t>WOS:000243330500011</t>
  </si>
  <si>
    <t>Khanna, HK; Daggard, GE</t>
  </si>
  <si>
    <t>Khanna, Harjeet K.; Daggard, Grant E.</t>
  </si>
  <si>
    <t>Targeted expression of redesigned and codon optimised synthetic gene leads to recrystallisation inhibition and reduced electrolyte leakage in spring wheat at sub-zero temperatures</t>
  </si>
  <si>
    <t>PLANT CELL REPORTS</t>
  </si>
  <si>
    <t>antifreeze protein; codon optimisation; frost tolerance; signal peptide; transgenic; wheat</t>
  </si>
  <si>
    <t>RICH-REPEAT PROTEIN; ANTIFREEZE PROTEIN; TRANSGENIC PLANTS; ENDOPLASMIC-RETICULUM; ANTARCTIC FISHES; TERMINAL KDEL; WINTER RYE; ICE; PEPTIDES; CARROT</t>
  </si>
  <si>
    <t>Antifreeze proteins (AFPs) adsorb to ice crystals and inhibit their growth, leading to non-colligative freezing point depression. Crops like spring wheat, that are highly susceptible to frost damage, can potentially be made frost tolerant by expressing AFPs in the cytoplasm and apoplast where ice recrystallisation leads to cellular damage. The protein sequence for HPLC-6 alpha-helical antifreeze protein from winter flounder was rationally redesigned after removing the prosequences in the native protein. Wheat nuclear gene preferred amino acid codons were used to synthesize a recombinant antifreeze gene, rAFPI. Antifreeze protein was targeted to the apoplast using a Murine leader peptide sequence from the mAb24 light chain or retained in the endoplasmic reticulum using C-terminus KDEL sequence. The coding sequences were placed downstream of the rice Actin promoter and Actin-1 intron and upstream of the nopaline synthase terminator in the plant expression vectors. Transgenic wheat lines were generated through micro projectile bombardment of immature embryos of spring wheat cultivar Seri 82. Levels of antifreeze protein in the transgenic lines without any targeting peptide were low (0.06-0.07%). The apoplast-targeted protein reached a level of 1.61% of total soluble protein, 90% of which was present in the apoplast. ER-retained protein accumulated in the cells at levels up to 0.65% of total soluble proteins. Transgenic wheat line T-8 with apoplast-targeted antifreeze protein exhibited the highest levels of antifreeze activity and provided significant freezing protection even at temperatures as low as -7 degrees C.</t>
  </si>
  <si>
    <t>Univ So Queensland, Fac Sci, Ctr Syst Biol, Toowoomba, Qld 4350, Australia</t>
  </si>
  <si>
    <t>University of Southern Queensland</t>
  </si>
  <si>
    <t>Khanna, HK (corresponding author), Univ So Queensland, Fac Sci, Ctr Syst Biol, Toowoomba, Qld 4350, Australia.</t>
  </si>
  <si>
    <t>h.khanna@qut.edu.au; daggard@usq.edu.au</t>
  </si>
  <si>
    <t>Daggard, Grant/R-3795-2016; Khanna, Harjeet/I-9938-2012</t>
  </si>
  <si>
    <t>Daggard, Grant/0000-0002-8005-4273; Khanna, Harjeet/0000-0001-6094-0924</t>
  </si>
  <si>
    <t>0721-7714</t>
  </si>
  <si>
    <t>PLANT CELL REP</t>
  </si>
  <si>
    <t>Plant Cell Reports</t>
  </si>
  <si>
    <t>10.1007/s00299-006-0191-9</t>
  </si>
  <si>
    <t>107DF</t>
  </si>
  <si>
    <t>WOS:000242150200010</t>
  </si>
  <si>
    <t>Webster, NS; Battershill, CN; Negri, AP</t>
  </si>
  <si>
    <t>Webster, Nicole S.; Battershill, Christopher N.; Negri, Andrew P.</t>
  </si>
  <si>
    <t>Recruitment of Antarctic marine eukaryotes onto artificial surfaces</t>
  </si>
  <si>
    <t>GRADIENT GEL-ELECTROPHORESIS; RIBOSOMAL-RNA GENES; WINTER QUARTERS BAY; MCMURDO-STATION; ENVIRONMENTAL VARIABLES; MICROBIAL COMMUNITIES; BENTHIC COMMUNITIES; CONTAMINATION; SEA; CASEY</t>
  </si>
  <si>
    <t>Activities related to Antarctic research stations have caused significant local impacts on the marine environment, potentially affecting the recruitment of benthic invertebrates. Herein, we report the community structure of recruiting marine eukaryotes onto artificial substrata using molecular techniques. Slides were deployed at three sites adjacent to McMurdo Station, Scott Base, and Cape Armitage in McMurdo Sound. Denaturing gradient gel electrophoresis (DGGE) analysis revealed complex and diverse eukaryotic communities had established on artificial surfaces deployed at a range of site and depth regimes after 12 months. Analysis of similarity results detected significantly greater variability in community profiles among sites than within sites. The nonmetric multidimensional scaling plot constructed from DGGE banding patterns revealed different benthic communities had established at 12 and 18 m depths. Despite this, the variation in community composition was greater among sites than between depths, especially at Cape Armitage and Scott Base. Sequence analysis of excised DGGE bands revealed a predominance of arthropod and dinoflagellate sequences at Cape Armitage. In contrast, a wide diversity of phyla including cnidaria, bryozoa, protozoa, dinoflagellates, arthropods, platyhelminths, and annelids were present adjacent to the two research stations. The abundance of diatoms detected in Cape Armitage benthic assemblages exceeded the abundance of diatoms from McMurdo Station and Scott Base by almost two orders of magnitude. The discovery that distinct eukaryotic communities recruit at different sites and depths is probably due to complex interactions between multiple factors including water quality, larval supply, and light. The detection of sessile phyla on slides at each of the sites indicates that the pollution profiles present at each site is not an impediment to successful recruitment of these species.</t>
  </si>
  <si>
    <t>Webster, NS (corresponding author), Australian Inst Marine Sci, Townsville, Qld 4810, Australia.</t>
  </si>
  <si>
    <t>Webster, Nicole/G-4980-2011; Battershill, Christopher/G-2663-2013; Negri, Andrew/G-9909-2017</t>
  </si>
  <si>
    <t>Webster, Nicole/0000-0002-4753-5278; Battershill, Christopher/0000-0002-5586-0417; Negri, Andrew/0000-0003-1388-7395</t>
  </si>
  <si>
    <t>10.1007/s00300-006-0153-2</t>
  </si>
  <si>
    <t>111GI</t>
  </si>
  <si>
    <t>WOS:000242439000001</t>
  </si>
  <si>
    <t>Omelon, CR; Pollard, WH; Ferris, FG</t>
  </si>
  <si>
    <t>Omelon, Christopher R.; Pollard, Wayne H.; Ferris, F. Grant</t>
  </si>
  <si>
    <t>Environmental controls on microbial colonization of high Arctic cryptoendolithic habitats</t>
  </si>
  <si>
    <t>ROSS DESERT; DRY VALLEYS; ANTARCTICA; COMMUNITY; MICROORGANISMS; CYANOBACTERIA; TEMPERATURE; REGION; CLIFFS; ALGAE</t>
  </si>
  <si>
    <t>Sandstone outcrops around Eureka, Ellesmere Island, Nunavut (80 degrees N) in the Canadian high Arctic are host to abundant cryptoendolithic microbial communities. Continuous measurements over 2 years (2002-2004) of climate and environmental parameters showed that cryptoendolithic habitats experience warmer temperatures and wetter conditions than the exposed rock surface. Subsurface temperature fluctuations were moderated by the thermal capacity of the rock substrate and varied as a function of depth, aspect, and albedo. Rain, snow or snowmelt substantially increased subsurface moisture levels, which persist for significant time periods after initial precipitation events. These conditions produced a habitat amenable to colonization by cyanobacteria, fungi and algae. The dominance of one microbial community over another varied between sites, however these differences existed in habitats with similar temperature conditions. Greater diversity of microorganisms at this Arctic location compared to similar habitats in the Antarctic Dry Valleys is explained by warmer temperatures during summer months that lead to longer periods for both active (similar to 3,700 h year(-1)) and ideal (similar to 2,500 h year(-1)) calculated metabolic activities as well as abundant moisture in the form of liquid water.</t>
  </si>
  <si>
    <t>Univ Toronto, Dept Geol, Microbiol Geochem Lab, Toronto, ON M5S 3B1, Canada; McGill Univ, Dept Geog, Montreal, PQ H3A 2K6, Canada</t>
  </si>
  <si>
    <t>University of Toronto; McGill University</t>
  </si>
  <si>
    <t>Omelon, CR (corresponding author), Univ Toronto, Dept Geol, Microbiol Geochem Lab, 22 Russell St, Toronto, ON M5S 3B1, Canada.</t>
  </si>
  <si>
    <t>omelon@geology.utoronto.ca</t>
  </si>
  <si>
    <t>Omelon, Christopher/B-8520-2011</t>
  </si>
  <si>
    <t>Omelon, Christopher/0000-0003-4563-3189</t>
  </si>
  <si>
    <t>10.1007/s00300-006-0155-0</t>
  </si>
  <si>
    <t>WOS:000242439000003</t>
  </si>
  <si>
    <t>Sabacká, M; Elster, J</t>
  </si>
  <si>
    <t>Sabacka, Marie; Elster, Josef</t>
  </si>
  <si>
    <t>Response of cyanobacteria and algae from Antarctic wetland habitats to freezing and desiccation stress</t>
  </si>
  <si>
    <t>PRASIOLA-CRISPA</t>
  </si>
  <si>
    <t>Antarctic wetlands are characterized by the presence of liquid water during short austral summer. Filamentous cyanobacteria are often dominant there and are exposed to severe conditions, of which the changes in the desiccation-rehydration and freeze-thaw cycles are two of the most stressful. Vigor, after freezing and desiccation, was laboratory tested in cyanobacterial and algal strains from wetland habitats collected in maritime and continental Antarctica. Whereas minor sub-zero temperatures (-4 degrees C), demonstrating summer diurnal freeze-thaws did not cause significant damage on either cyanobacteria or algae, low sub-zero temperatures (-40, -100, -196 degrees C), demonstrating annual winter freeze, caused little harm to cyanobacteria, but was fatal for more than 50% of the population of algae. Freezing and desiccation tolerance of these strains was compared using multiregression methods: cyanobacteria from continental Antarctica were significantly more tolerant to low sub-zero temperatures than similar strains from maritime Antarctica (P = 0.026; F = 3.66); and cyanobacteria from seepages habitat were less tolerant to freezing and desiccation than cyanobacteria from other wetlands (P = 0.002; F = 5.69).</t>
  </si>
  <si>
    <t>Univ S Bohemia, Fac Biol Sci, Ceske Budejovice 37005, Czech Republic; Acad Sci Czech Republ, Inst Bot, CS-37982 Trebon, Czech Republic</t>
  </si>
  <si>
    <t>Czech Academy of Sciences; University of South Bohemia Ceske Budejovice; Czech Academy of Sciences; Institute of Botany of the Czech Academy of Sciences</t>
  </si>
  <si>
    <t>Sabacká, M (corresponding author), Montana State Univ, Dept Land Resources &amp; Environm Sci, Dukelska 135, Bozeman, MT 59717 USA.</t>
  </si>
  <si>
    <t>maries@montana.edu</t>
  </si>
  <si>
    <t>Elster, Josef/B-1031-2008; Sabacka, Marie/I-6378-2012</t>
  </si>
  <si>
    <t>Elster, Josef/0000-0002-4535-5636; Sabacka, Marie/0000-0002-0876-2718</t>
  </si>
  <si>
    <t>10.1007/s00300-006-0156-z</t>
  </si>
  <si>
    <t>WOS:000242439000004</t>
  </si>
  <si>
    <t>Podrabsky, JE; Somero, GN</t>
  </si>
  <si>
    <t>Podrabsky, Jason E.; Somero, George N.</t>
  </si>
  <si>
    <t>Inducible heat tolerance in Antarctic notothenioid fishes</t>
  </si>
  <si>
    <t>COLD ADAPTATION; TEMPERATURE; EVOLUTION; OCEAN</t>
  </si>
  <si>
    <t>Significant increases in heat tolerance (time of survival at 14 degrees C) were observed for some, but not all, species of notothenioid fishes collected from McMurdo Sound, Antarctica (77 degrees 51'S) following acclimation to 4 degrees C. The increase in thermal tolerance was rapid in Trematomus bernacchii, developing within 1-2 days of acclimation to 4 degrees C. Long-term (6-8 weeks) acclimation to 4 degrees C led to greater heat tolerance in Trematomus pennellii than in T. bernacchii. Unlike its demersal congeners, the cryopelagic notothenioid Pagothenia borchgrevinki did not increase heat tolerance during warm acclimation. A deep-living zoarcid fish, Lycodichthys dearborni, also failed to increase heat tolerance, but survived significantly (&gt; threefold) longer at 14 degrees C than the notothenioids.</t>
  </si>
  <si>
    <t>Portland State Univ, Dept Biol, Portland, OR 97207 USA; Stanford Univ, Hopkins Marine Stn, Pacific Grove, CA 93950 USA</t>
  </si>
  <si>
    <t>Portland State University; Stanford University</t>
  </si>
  <si>
    <t>Podrabsky, JE (corresponding author), Portland State Univ, Dept Biol, Portland, OR 97207 USA.</t>
  </si>
  <si>
    <t>jpod@pdx.edu</t>
  </si>
  <si>
    <t>Somero, George/AAC-3321-2019</t>
  </si>
  <si>
    <t>Podrabsky, Jason/0000-0003-1411-8547; Somero, George/0000-0003-1431-6455</t>
  </si>
  <si>
    <t>10.1007/s00300-006-0157-y</t>
  </si>
  <si>
    <t>WOS:000242439000005</t>
  </si>
  <si>
    <t>Powell, SM; Ma, WK; Siciliano, SD</t>
  </si>
  <si>
    <t>Powell, Shane M.; Ma, Wai K.; Siciliano, Steven D.</t>
  </si>
  <si>
    <t>Isolation of denitrifying bacteria from hydrocarbon-contaminated Antarctic soil</t>
  </si>
  <si>
    <t>NITROUS-OXIDE REDUCTASE; 16S RIBOSOMAL-RNA; NITRITE REDUCTASE; GENES; DENITRIFICATION; DIVERSITY; STRAINS; AMPLIFICATION; LOCALIZATION; MEGAPLASMID</t>
  </si>
  <si>
    <t>In this study, we report the isolation of denitrifiers from hydrocarbon-contaminated Antarctic soils. Seventy-two isolates were obtained from soils that had received a fertilizer treatment to stimulate hydrocarbon degradation. All isolates, except one, belonged to the genus Pseudomonas. The one exception was a member of the Microbacteriaceae, which was also, coincidentally, the only isolate negative for the nirS gene. The diversity of the 16S rRNA and nosZ genes was assessed by denaturing gradient gel electrophoresis and sequencing. There was a slight correlation between the 16S rRNA and nosZ operational taxonomic units. Surprisingly, many isolates contained nosZ on plasmids and, to the best of our knowledge, this is the first report of nosZ being extra-chromosomally present in Pseudomonas spp.</t>
  </si>
  <si>
    <t>Univ Tasmania, Sch Agr Sci, Hobart, Tas 7001, Australia; Australian Antarctic Div, Dept Environm &amp; Heritage, Kingston, Tas, Australia; Univ Saskatchewan, Dept Soil Sci, Saskatoon, SK S7N 0W0, Canada</t>
  </si>
  <si>
    <t>University of Tasmania; Australian Antarctic Division; University of Saskatchewan</t>
  </si>
  <si>
    <t>Powell, SM (corresponding author), Univ Tasmania, Sch Agr Sci, Private Bag 54, Hobart, Tas 7001, Australia.</t>
  </si>
  <si>
    <t>shanep@utas.edu.au</t>
  </si>
  <si>
    <t>Powell, Shane M/C-2391-2014; Siciliano, Steven D/G-3370-2011</t>
  </si>
  <si>
    <t>Powell, Shane/0000-0001-5082-1630; Siciliano, Steven/0000-0002-8994-3341</t>
  </si>
  <si>
    <t>10.1007/s00300-006-0161-2</t>
  </si>
  <si>
    <t>WOS:000242439000009</t>
  </si>
  <si>
    <t>Giordano, D; Grassi, L; Parisi, E; Bargelloni, L; di Prisco, G; Verde, C</t>
  </si>
  <si>
    <t>Giordano, Daniela; Grassi, Luigi; Parisi, Elio; Bargelloni, Luca; di Prisco, Guido; Verde, Cinzia</t>
  </si>
  <si>
    <t>Embryonic β-globin in the non-Antarctic notothenioid fish Cottoperca gobio (Bovichtidae)</t>
  </si>
  <si>
    <t>FUNCTIONALLY DISTINCT HEMOGLOBINS; ALPHA-GLOBIN; GENES; EVOLUTION; PERCIFORMES; PHYLOGENIES; ICEFISHES; TELEOST; SYSTEM</t>
  </si>
  <si>
    <t>Haemoglobins are sensitive to temperature and their properties mirror the thermal conditions encountered by species during their evolutionary histories. This paper provides data on molecular phylogeny of the haemoglobin chains of Cottoperca gobio, a notothenioid fish of sub-Antarctic latitudes, belonging to the basal family Bovichtidae. Unlike most Antarctic notothenioids, C. gobio has two major haemoglobins sharing the beta chain. In the molecular phylogenetic analysis, the beta chain is included in the clade of the embryonic or minor Antarctic globins. Although, in the majority of notothenioids, embryonic (minor) alpha and beta globins are expressed in traces or small amounts in the adult stage, in C. gobio the present analysis supports the occurrence of a complete switch to exclusive expression of the embryonic beta-globin gene in adult fish. The alpha and beta chains sequences have been used to expand our knowledge of the evolution of notothenioid haemoglobins.</t>
  </si>
  <si>
    <t>CNR, Inst Prot Biochem, I-80131 Naples, Italy; Univ Padua, Dept Publ Hlth Comparat Pathol &amp; Vet Hyg, I-35020 Legnaro, Italy</t>
  </si>
  <si>
    <t>Consiglio Nazionale delle Ricerche (CNR); Istituto di Biochimica delle Proteine (IBP-CNR); University of Padua</t>
  </si>
  <si>
    <t>Giordano, D (corresponding author), CNR, Inst Prot Biochem, Via Pietro Castellino 111, I-80131 Naples, Italy.</t>
  </si>
  <si>
    <t>g.diprisco@ibp.cnr.it</t>
  </si>
  <si>
    <t>Grassi, Luigi/E-5877-2011; Giordano, Daniela/AFK-7772-2022</t>
  </si>
  <si>
    <t>Giordano, Daniela/0000-0002-8891-6245; VERDE, Cinzia/0000-0001-6185-282X; Grassi, Luigi/0000-0002-6308-7540</t>
  </si>
  <si>
    <t>10.1007/s00300-006-0162-1</t>
  </si>
  <si>
    <t>WOS:000242439000010</t>
  </si>
  <si>
    <t>Ferreira, SM; van Aarde, RJ; Wassenaar, TD</t>
  </si>
  <si>
    <t>Ferreira, S. M.; van Aarde, R. J.; Wassenaar, T. D.</t>
  </si>
  <si>
    <t>Demographic responses of house mice to density and temperature on sub-Antarctic Marion Island</t>
  </si>
  <si>
    <t>CLIMATE-CHANGE; MUS-MUSCULUS; POPULATION-DYNAMICS; HABITAT USE; FERAL CATS; MOUSE; ECOLOGY; IMPACT; AUSTRALIA; VOLE</t>
  </si>
  <si>
    <t>Recent changes in the climate of the sub-Antarctic may influence the number of house mouse (Mus musculus sensu lato) living on islands in the region. An increase in mouse numbers, as conditions became milder, could amplify the effects of climate change on native prey species. However, we have no direct evidence of the influence of climate on mouse numbers in the sub-Antarctic. We, therefore, assessed demographic trends in the mouse population on Marion Island between 1991 and 2001. Both the climate and mouse numbers were relatively stable during our study. Mice, however, increased their reproductive output in years when ambient temperatures were relatively high. Moreover, reduced reproductive output followed high densities at the onset of a breeding season, implying density-dependent limitation. We conclude that both temperature and density limited the increase in numbers during the summer breeding season. Major die-offs during winter probably limit population size and explain the relative stability in numbers across the 10 years of our study.</t>
  </si>
  <si>
    <t>Univ Pretoria, Dept Zool &amp; Entomol, Conservat Ecol Res Unit, ZA-0002 Pretoria, South Africa</t>
  </si>
  <si>
    <t>University of Pretoria</t>
  </si>
  <si>
    <t>Ferreira, SM (corresponding author), Univ Auckland, Dept Stat, Auckland 1, New Zealand.</t>
  </si>
  <si>
    <t>rjvaarde@zoology.up.ac.za</t>
  </si>
  <si>
    <t>10.1007/s00300-006-0163-0</t>
  </si>
  <si>
    <t>WOS:000242439000011</t>
  </si>
  <si>
    <t>Brodte, E; Knust, R; Pörtner, HO</t>
  </si>
  <si>
    <t>Brodte, E.; Knust, R.; Poertner, H. O.</t>
  </si>
  <si>
    <t>Temperature-dependent energy allocation to growth in Antarctic and boreal eelpout (Zoarcidae)</t>
  </si>
  <si>
    <t>METABOLIC COLD ADAPTATION; OXYGEN-CONSUMPTION; BODY-COMPOSITION; MARINE FISH; POLAR FISH; ATLANTIC; POPULATIONS; ENERGETICS; RATES; AGE</t>
  </si>
  <si>
    <t>Antarctic fishes display slower annual growth rates than congeneric species from temperate zones. For an analysis of growth in relation to energy turnover, body composition was analysed in two benthic fish species to establish a whole animal energy budget. The Antarctic eelpout, Pachycara brachycephalum, was maintained at 0, 2, 4 and 6 degrees C and the boreal eelpout, Zoarces viviparus at 4, 6, 12 and 18 degrees C. At maximum food supply the weight gain was highest for P. brachycephalum at 4 degrees C. Routine metabolic rate in acclimated Antarctic eelpouts did not differ between temperatures, whereas in Z. viviparus maximized growth benefited from a reduction of metabolic energy demands at 12 degrees C. The lipid content of liver declined with increasing temperature in both species. The thermal window for growth is based on food conversion efficiency and the level of metabolic energy demand and is limited according to the level of aerobic scope available between pejus temperatures.</t>
  </si>
  <si>
    <t>Brodte, E (corresponding author), Alfred Wegener Inst Polar &amp; Marine Res, Postfach 12 01 61, D-27515 Bremerhaven, Germany.</t>
  </si>
  <si>
    <t>ebrodte@awi-bremerhaven.de</t>
  </si>
  <si>
    <t>Brodte, Eva-Maria/B-3717-2018; Pörtner, Hans-O./K-9429-2016; Pörtner, Hans-O./ISU-9397-2023</t>
  </si>
  <si>
    <t>Brodte, Eva-Maria/0000-0002-6835-4484; Pörtner, Hans-O./0000-0001-6535-6575;</t>
  </si>
  <si>
    <t>10.1007/s00300-006-0165-y</t>
  </si>
  <si>
    <t>WOS:000242439000012</t>
  </si>
  <si>
    <t>Hugo, EA; Chown, SL; McGeoch, MA</t>
  </si>
  <si>
    <t>Hugo, Elizabeth A.; Chown, Steven L.; McGeoch, Melodie A.</t>
  </si>
  <si>
    <t>The microarthropods of sub-Antarctic Prince Edward Island: a quantitative assessment</t>
  </si>
  <si>
    <t>SOUTHERN-OCEAN ISLANDS; MARION-ISLAND; BIOLOGICAL INVASIONS; TERRESTRIAL HABITATS; CLIMATE-CHANGE; HUMAN IMPACTS; HEARD ISLAND; 1ST RECORD; CONSERVATION; BIOGEOGRAPHY</t>
  </si>
  <si>
    <t>The biodiversity in the sub-Antarctic region is threatened by climatic change and biological invasions, which makes the understanding of distributions of biotas on sub-Antarctic islands essential. Although the distribution patterns of vascular plants and insects on sub-Antarctic islands are well documented, this is not always the case for microarthropods. This study provides the first quantitative assessment of the distribution and abundance of microarthropods on Prince Edward Island (PEI), one of two islands in the Prince Edward Island group. Microarthropod community structure differed significantly between PEI and nearby Marion Island, with only two invasive alien species found on PEI compared with Marion Island. Furthermore, species richness, abundance and community structure differed significantly between habitat types on both islands. This study emphasizes the importance of quarantine measures when visiting PEI to maintain its status as one of the more pristine islands in the sub-Antarctic region.</t>
  </si>
  <si>
    <t>Univ Stellenbosch, Ctr Invas Biol, Dept Conservat Ecol &amp; Entomol, ZA-7602 Matieland, South Africa; Univ Stellenbosch, Dept Conservat Ecol, ZA-7602 Matieland, South Africa; Univ Stellenbosch, Ctr Invas Biol, Dept Bot &amp; Zool, ZA-7602 Matieland, South Africa</t>
  </si>
  <si>
    <t>Stellenbosch University; Stellenbosch University; Stellenbosch University</t>
  </si>
  <si>
    <t>Hugo, EA (corresponding author), Univ Stellenbosch, Ctr Invas Biol, Dept Conservat Ecol &amp; Entomol, ZA-7602 Matieland, South Africa.</t>
  </si>
  <si>
    <t>mcgeoch@sun.ac.za</t>
  </si>
  <si>
    <t>Chown, Steven/ABD-7646-2021; Chown, Steven/H-3347-2011; McGeoch, Melodie/F-8353-2011</t>
  </si>
  <si>
    <t>Hugo-Coetzee, Elizabeth/0000-0003-0525-9049; Chown, Steven/0000-0001-6069-5105; McGeoch, Melodie/0000-0003-3388-2241</t>
  </si>
  <si>
    <t>10.1007/s00300-006-0166-x</t>
  </si>
  <si>
    <t>WOS:000242439000013</t>
  </si>
  <si>
    <t>Zhang, JW; Zeng, RY</t>
  </si>
  <si>
    <t>Zhang Jin-Wei; Zeng Run-Ying</t>
  </si>
  <si>
    <t>Cloning, expression and characterization of the cold active lipase (Lip3) from metagenomic DNA of an Antarctic deep sea sediment</t>
  </si>
  <si>
    <t>PROGRESS IN BIOCHEMISTRY AND BIOPHYSICS</t>
  </si>
  <si>
    <t>Antarctic deep sea sediment; metagenome; cold active lipase; cloning and expression</t>
  </si>
  <si>
    <t>MORAXELLA TA144; TEMPERATURE; SEQUENCE; ENZYMES; PSYCHROPHILE; ACTIVATION</t>
  </si>
  <si>
    <t>The metagenomic DNA was extracted from the deep sea sediment with the depth of 900m of Prydz Bay, Antarctic. A lipase gene (lip3) with the size of 948bp was cloned from the metagenomic DNA by PCR with the primers designed. The deduced Lip3 protein was composed of 315 amino acids (AA) with a molecular mass of 34.577 ku. The motifs GFGNS(GXGXS)and G-N-S-M-G(GXSXG)in the AA sequences of Lip3 were found to be conserved in other lipase. They were most conserved sequence among the serine hydrolase and were necessary for the activity. A 35 ku of Lip3 was purified by Ni-NTA chelating sepharose column from the extract of recombinant E.coli Top 10F' cell harboring a pLLP-OmpA plasmid inserted with lip3. The purified Lip3 was most active at 25 degrees C and kept 22% of activity at 0 degrees C. Only 10% of activity was retained after it was incubated at 35 degrees C for 60 min. The optimal pH value for the Lip3 activity was 8.0. The K-m value of the enzyme towards p-nitrophenyl palmitate increased with the increasing of assayed temperature. These results indicated that Lip3 was a typical alkaline cold active enzyme.</t>
  </si>
  <si>
    <t>State Ocean Adm, Key Lab Marine Biogenet Resources, Xiamen 361005, Peoples R China</t>
  </si>
  <si>
    <t>Zeng, RY (corresponding author), State Ocean Adm, Key Lab Marine Biogenet Resources, Xiamen 361005, Peoples R China.</t>
  </si>
  <si>
    <t>runyingzeng@yahoo.com.cn</t>
  </si>
  <si>
    <t>Zhang, Jinwei/Q-7959-2019; Zhang, Jinwei/N-8584-2017</t>
  </si>
  <si>
    <t>Zhang, Jinwei/0000-0001-8683-509X;</t>
  </si>
  <si>
    <t>CHINESE ACAD SCIENCES, INST BIOPHYSICS</t>
  </si>
  <si>
    <t>15 DATUN RD, CHAOYAND DISTRICT, BEIJING, 100101, PEOPLES R CHINA</t>
  </si>
  <si>
    <t>1000-3282</t>
  </si>
  <si>
    <t>PROG BIOCHEM BIOPHYS</t>
  </si>
  <si>
    <t>Prog. Biochem. Biophys.</t>
  </si>
  <si>
    <t>Biochemistry &amp; Molecular Biology; Biophysics</t>
  </si>
  <si>
    <t>120PN</t>
  </si>
  <si>
    <t>WOS:000243097200009</t>
  </si>
  <si>
    <t>Johnston, TC; Alley, RB</t>
  </si>
  <si>
    <t>Johnston, T. C.; Alley, R. B.</t>
  </si>
  <si>
    <t>Possible role for dust or other northern forcing of ice-age carbon dioxide changes</t>
  </si>
  <si>
    <t>ATMOSPHERIC CO2 CONCENTRATION; LAST GLACIAL MAXIMUM; SCALE CLIMATE-CHANGE; ANTARCTIC SEA-ICE; CORE RECORD; TAYLOR DOME; VOSTOK; GREENLAND; OCEAN; DEGLACIATION</t>
  </si>
  <si>
    <t>A simple impulse-decay model driven by the history of atmospheric dust loading from Greenland can match the history of glacial-interglacial changes in atmospheric carbon dioxide concentration rather accurately, if model parameters are tuned within physically possible ranges; forcing with the Greenland temperature record produces a similarly good match. Calculations using southern forcing do not match as accurately. These results leave open the possibility of northern control of glacial-interglacial carbon dioxide changes. (c) 2006 Elsevier Ltd. All rights reserved.</t>
  </si>
  <si>
    <t>Penn State Univ, Dept Geosci, University Pk, PA 16802 USA; Penn State Univ, Earth &amp; Environm Syst Inst, University Pk, PA 16802 USA</t>
  </si>
  <si>
    <t>Pennsylvania Commonwealth System of Higher Education (PCSHE); Pennsylvania State University; Pennsylvania State University - University Park; Pennsylvania Commonwealth System of Higher Education (PCSHE); Pennsylvania State University; Pennsylvania State University - University Park</t>
  </si>
  <si>
    <t>Alley, RB (corresponding author), Penn State Univ, Dept Geosci, Deike Bldg, University Pk, PA 16802 USA.</t>
  </si>
  <si>
    <t>rba6@psu.edu</t>
  </si>
  <si>
    <t>23-24</t>
  </si>
  <si>
    <t>10.1016/j.quascirev.2006.10.003</t>
  </si>
  <si>
    <t>146FZ</t>
  </si>
  <si>
    <t>WOS:000244921200008</t>
  </si>
  <si>
    <t>Andersen, KK; Svensson, A; Johnsen, SJ; Rasmussen, SO; Bigler, M; Röthlisberger, R; Ruth, U; Siggaard-Andersen, ML; Steffensen, JP; Dahl-Jensen, D; Vinther, BM; Clausen, HB</t>
  </si>
  <si>
    <t>Andersen, Katrine K.; Svensson, Anders; Johnsen, Sigfus J.; Rasmussen, Sune O.; Bigler, Matthias; Rothlisberger, Regine; Ruth, Urs; Siggaard-Andersen, Marie-Louise; Steffensen, Jorgen Peder; Dahl-Jensen, Dorthe; Vinther, Bo M.; Clausen, Henrik B.</t>
  </si>
  <si>
    <t>The Greenland Ice Core Chronology 2005, 15-42 ka.: Part 1:: constructing the time scale</t>
  </si>
  <si>
    <t>LAST GLACIAL PERIOD; SHEET; ISOTOPE; CLIMATE; EVENTS; GISP2; DUST; GRIP</t>
  </si>
  <si>
    <t>The Greenland Ice Core Chronology 2005, GICC05, is extended back to 42 ka b2k (before 2000 AD), i.e. to the end of Greenland Stadial II. The chronology is based on independent multi-parameter counting of annual layers using comprehensive high-resolution measurements available from the North Greenland Ice Core Project, NGRIP. These are measurements of visual stratigraphy, conductivity of the solid ice, electrolytical melt water conductivity and the concentration of Na+, Ca2+, SO42-, NO3-, NH4+. An uncertainty estimate of the time scale is obtained from identification of 'uncertain' annual layers, which are counted as 0.5 +/- 0.5 years. The sum of the uncertain annual layers, the so-called maximum counting error of the presented chronology ranges from 4% in the warm interstadial periods to 7% in the cold stadials. The annual accumulation rates of the stadials and interstadials are on average one-third and half of the present day values, respectively, and the onset of the Greenland Interstadials 2, 3, and 8, based on 20 year averaged 6180 values, are determined as 23,340, 27,780, and 38,220yr b2k in GICC05. (c) 2006 Elsevier Ltd. All rights reserved.</t>
  </si>
  <si>
    <t>Univ Copenhagen, Niels Bohr Inst, DK-2100 Copenhagen, Denmark; British Antarctic Survey, Cambridge CB3 0ET, England; Alfred Wegener Inst Polar &amp; Marine Res, D-2850 Bremerhaven, Germany</t>
  </si>
  <si>
    <t>University of Copenhagen; Niels Bohr Institute; UK Research &amp; Innovation (UKRI); Natural Environment Research Council (NERC); NERC British Antarctic Survey; Helmholtz Association; Alfred Wegener Institute, Helmholtz Centre for Polar &amp; Marine Research</t>
  </si>
  <si>
    <t>Andersen, KK (corresponding author), Univ Copenhagen, Niels Bohr Inst, Blegdamsvej 17, DK-2100 Copenhagen, Denmark.</t>
  </si>
  <si>
    <t>kka@gfy.ku.dk</t>
  </si>
  <si>
    <t>Rasmussen, Sune/B-5560-2008; Steffensen, Jorgen Peder/JFS-7831-2023; Svensson, Anders/A-2643-2010; Dahl-Jensen, Dorthe/AAO-6951-2020; Bishnoi, Mamta/AAQ-8346-2021; Bigler, Matthias/HTT-3872-2023; Rasmussen, Sune Olander/AAA-3190-2021; Andersen, Katrine Krogh/B-4082-2016</t>
  </si>
  <si>
    <t>Steffensen, Jorgen Peder/0000-0002-5516-1093; Svensson, Anders/0000-0002-4364-6085; Dahl-Jensen, Dorthe/0000-0002-1474-1948; Bishnoi, Mamta/0000-0003-4987-0536; Bigler, Matthias/0000-0003-0184-4013; Rasmussen, Sune Olander/0000-0002-4177-3611; Vinther, Bo/0000-0002-6078-771X; Andersen, Katrine Krogh/0000-0003-4178-2195</t>
  </si>
  <si>
    <t>10.1016/j.quascirev.2006.08.002</t>
  </si>
  <si>
    <t>WOS:000244921200012</t>
  </si>
  <si>
    <t>Svensson, A; Andersen, KK; Bigler, M; Clausen, HB; Dahl-Jensen, D; Davies, SM; Johnsen, SJ; Muscheler, R; Rasmussen, SO; Röthlisberger, R; Steffensen, JP; Vinther, BM</t>
  </si>
  <si>
    <t>Svensson, Anders; Andersen, Katr'ne K.; Bigler, Matthias; Clausen, Henrik B.; Dahl-Jensen, Dorthe; Davies, Siwan M.; Johnsen, Sigfus J.; Muscheler, Raimund; Rasmussen, Sune O.; Rothlisberger, Regine; Steffensen, Jorgen Peder; Vinther, Bo M.</t>
  </si>
  <si>
    <t>The Greenland Ice Core Chronology 2005, 15-42 ka.: Part 2:: comparison to other records</t>
  </si>
  <si>
    <t>ASH LAYERS; RADIOCARBON; AGE; CALIBRATION; GISP2; GRIP; STRATIGRAPHY; ISOTOPE; PROFILE; SUMMIT</t>
  </si>
  <si>
    <t>A new Greenland Ice Core Chronology (GICC05) based on multi-parameter counting of annual layers has been obtained for the last 42 ka. Here we compare the glacial part of the new time scale, which is based entirely on records from the NorthGRIP ice core, to existing time scales and reference horizons covering the same period. These include the GRIP and NorthGRIP modelled time scales, the Meese-Sowers GISP2 counted time scale, the Shackleton-Fairbanks GRIP time scale (SFCP04) based on C-14 calibration of a marine core, the Hulu Cave record, three volcanic reference horizons, and the Laschamp geomagnetic excursion event occurring around Greenland Interstadial 10. GICC05 is generally in good long-term agreement with the existing Greenland ice core chronologies and with the Hulu Cave record, but on shorter time scales there are significant discrepancies. Around the Last Glacial Maximum there is a more than I ka age difference between GICC05 and SFCP04 and a more than 0.5 ka discrepancy in the same direction between GICC05 and the age of a recently identified tephra layer in the NorthGRIP ice core. Both SFCP04 and the tephra age are based on 14 C-dated marine cores and fixed marine reservoir ages. For the Laschamp event, GICC05 agrees with a recent independent dating within the uncertainties. (c) 2006 Elsevier Ltd. All rights reserved.</t>
  </si>
  <si>
    <t>Univ Copenhagen, Niels Bohr Inst, DK-2100 Copenhagen, Denmark; Univ Coll Swansea, Dept Geog, Swansea SA2 8PP, W Glam, Wales; NASA, Goddard Space Flight Ctr, Climate &amp; Radiat Branch, Greenbelt, MD 20771 USA; British Antarctic Survey, Cambridge CB3 0ET, England</t>
  </si>
  <si>
    <t>University of Copenhagen; Niels Bohr Institute; Swansea University; National Aeronautics &amp; Space Administration (NASA); NASA Goddard Space Flight Center; UK Research &amp; Innovation (UKRI); Natural Environment Research Council (NERC); NERC British Antarctic Survey</t>
  </si>
  <si>
    <t>Svensson, A (corresponding author), Univ Copenhagen, Niels Bohr Inst, Juliane Maries Vej 30, DK-2100 Copenhagen, Denmark.</t>
  </si>
  <si>
    <t>as@gfy.ku.dk</t>
  </si>
  <si>
    <t>Rasmussen, Sune/B-5560-2008; Bishnoi, Mamta/AAQ-8346-2021; Bigler, Matthias/HTT-3872-2023; Dahl-Jensen, Dorthe/AAO-6951-2020; Rasmussen, Sune Olander/AAA-3190-2021; Svensson, Anders/A-2643-2010; Steffensen, Jorgen Peder/JFS-7831-2023; Davies, Siwan/E-6915-2011; Andersen, Katrine Krogh/B-4082-2016</t>
  </si>
  <si>
    <t>Bishnoi, Mamta/0000-0003-4987-0536; Bigler, Matthias/0000-0003-0184-4013; Dahl-Jensen, Dorthe/0000-0002-1474-1948; Rasmussen, Sune Olander/0000-0002-4177-3611; Svensson, Anders/0000-0002-4364-6085; Steffensen, Jorgen Peder/0000-0002-5516-1093; Davies, Siwan/0000-0003-0999-7233; Vinther, Bo/0000-0002-6078-771X; Andersen, Katrine Krogh/0000-0003-4178-2195; Muscheler, Raimund/0000-0003-2772-3631</t>
  </si>
  <si>
    <t>Natural Environment Research Council [NE/D000416/1, bas010016] Funding Source: researchfish; NERC [bas010016, NE/D000416/1] Funding Source: UKRI</t>
  </si>
  <si>
    <t>10.1016/j.quascirev.2006.08.003</t>
  </si>
  <si>
    <t>WOS:000244921200013</t>
  </si>
  <si>
    <t>Barker, S; Archer, D; Booth, L; Elderfield, H; Henderiks, J; Rickaby, REM</t>
  </si>
  <si>
    <t>Barker, Stephen; Archer, David; Booth, Linda; Elderfield, Henry; Henderiks, Jorijntje; Rickaby, Rosalind E. M.</t>
  </si>
  <si>
    <t>Globally increased pelagic carbonate production during the Mid-Brunhes dissolution interval and the CO2 paradox of the MIS 11</t>
  </si>
  <si>
    <t>STABLE-ISOTOPE SIGNAL; SOUTH-ATLANTIC SECTOR; EQUATORIAL PACIFIC; LATE PLEISTOCENE; NORTH-ATLANTIC; DEEP-SEA; CALCAREOUS NANNOFOSSILS; PRESERVATION RECORDS; INTERGLACIAL CHANGES; CACO3 PRESERVATION</t>
  </si>
  <si>
    <t>The Mid-Brunhes dissolution interval (MBDI) represents a period of global carbonate dissolution, lasting several hundred thousand years, centred around Marine Isotope Stage (MIS) 11. Here we report the effects of dissolution in ODP core 982, taken from 1134m in the North Atlantic. Paradoxically, records of atmospheric CO2 from Antarctic ice-cores reveal no long term trend over the last 400 kyr and suggest that CO2 during MIS I I was no higher than during the present interglacial. We suggest that a global increase in pelagic carbonate production during this period, possibly related to the proliferation of the Gephyrocapsa coccolithophore, could have altered marine carbonate chemistry in such a way as to drive increased dissolution under the constraints of steady state. An increase in the production of carbonate in surface waters would cause a drawdown of global carbonate saturation and increase dissolution at the seafloor. In order to reconcile the record of atmospheric CO2 variability we suggest that an increase in the flux of organic matter from the surface to deep ocean, associated with either a net increase in primary production or the enhanced ballasting effect provided by an increased flux of CaCO3, could have countered the effect of increased calcification on CO2. (c) 2006 Elsevier Ltd. All rights reserved.</t>
  </si>
  <si>
    <t>Columbia Univ, Lamont Doherty Geol Observ, Palisades, NY 10964 USA; Univ Chicago, Dept Geophys Sci, Chicago, IL 60637 USA; Univ Cambridge, Dept Earth Sci, Cambridge CB2 3EQ, England; Stockholm Univ, Dept Geol &amp; Geochem, S-10691 Stockholm, Sweden; Univ Oxford, Dept Earth Sci, Oxford PX1 3PR, England</t>
  </si>
  <si>
    <t>Columbia University; University of Chicago; University of Cambridge; Stockholm University; University of Oxford</t>
  </si>
  <si>
    <t>Barker, S (corresponding author), Columbia Univ, Lamont Doherty Geol Observ, POB 1000,61 Route 9W, Palisades, NY 10964 USA.</t>
  </si>
  <si>
    <t>steve@earth.cf.ac.uk</t>
  </si>
  <si>
    <t>Archer, David/K-7371-2012; Henderiks, Jorijntje/ABB-1080-2020; Henderiks, Jorijntje/JGL-6527-2023; Stephen, Barker/C-2770-2009</t>
  </si>
  <si>
    <t>Archer, David/0000-0002-4523-7912; Henderiks, Jorijntje/0000-0001-9486-6275; Rickaby, Rosalind/0000-0002-6095-8419; Barker, Stephen/0000-0001-7870-6431</t>
  </si>
  <si>
    <t>10.1016/j.quascirev.2006.07.018</t>
  </si>
  <si>
    <t>WOS:000244921200015</t>
  </si>
  <si>
    <t>Skinner, LC; Shackleton, NJ</t>
  </si>
  <si>
    <t>Skinner, L. C.; Shackleton, N. J.</t>
  </si>
  <si>
    <t>Deconstructing Terminations I and II: revisiting the glacioeustatic paradigm based on deep-water temperature estimates</t>
  </si>
  <si>
    <t>SEA-LEVEL; LAST; CIRCULATION; MARINE; FORAMINIFERA; PLEISTOCENE; CYCLE</t>
  </si>
  <si>
    <t>Benthic and planktonic oxygen isotope (delta O-18(cc)) and Mg/Ca analyses in two cores from the Northeast Atlantic have permitted the reconstruction of surface- and deep-water temperature (T-dw) and delta O-18 (delta O-18(w)) variations across the last two deglaciations. These records allow the timing of de-glacial melt-water pulses reaching the Northeast Atlantic to be compared with the evolution of local deep-water T-dw-delta O-18(w) conditions. Although each glacial termination is unique in detail, a similar pattern of hydrographic change is reconstructed for both deglaciations, with the first major decrease in deep-water delta O-18(w) (due to sea-level and/or purely local deep-water change) occurring in parallel with the onset of intensely cold glacial surface-water temperatures, and prior to a 'terminal' ice-rafting and meltwater event. The evolution of deep-water across both de-glaciations involved two transient incursions of cold, low-delta O-18 water into the deep Northeast Atlantic, the second of which was particularly pronounced each time. These pulses of cold deep-water are interpreted to reflect the incursion of water directly analogous to modern Antarctic Bottom Water (AABW), and containing a significant component of brine rejected during sea-ice formation. The results presented here show that the same type of transient changes in deep-water circulation that occurred across Termination I also occurred across Termination II, and that as a result of these deep-ocean changes, the timing of each benthic delta O-18 'termination' cannot precisely reflect the timing of de-glacial sea-level change, as many palaeoceanographic interpretations (and some controversies) are prone to assume. Such 'imprecision' (in timing especially) may well extend to marine isotope stage (MIS) boundaries in general, as a principle of hydrographic variability and its expression in the geological record. (c) 2006 Elsevier Ltd. All rights reserved.</t>
  </si>
  <si>
    <t>Univ Cambridge, Dept Earth Sci, Godwin Lab Palaeoclimate Res, Cambridge CB2 3EQ, England</t>
  </si>
  <si>
    <t>Skinner, LC (corresponding author), Univ Cambridge, Dept Earth Sci, Godwin Lab Palaeoclimate Res, Downing St, Cambridge CB2 3EQ, England.</t>
  </si>
  <si>
    <t>luke00@esc.cam.ac.uk</t>
  </si>
  <si>
    <t>10.1016/j.quascirev.2006.07.005</t>
  </si>
  <si>
    <t>WOS:000244921200017</t>
  </si>
  <si>
    <t>Heusser, L; Heusser, C; Mix, A; McManus, J</t>
  </si>
  <si>
    <t>Heusser, Linda; Heusser, Cal; Mix, Alan; McManus, Jerry</t>
  </si>
  <si>
    <t>Chilean and Southeast Pacific paleoclimate variations during the last glacial cycle:: directly correlated pollen and δ18O records from ODP Site 1234</t>
  </si>
  <si>
    <t>CLIMATE-CHANGE; FOREST DYNAMICS; MARINE; VEGETATION; TERRESTRIAL; SCALE; CALIBRATION; DISTURBANCE; GREENLAND; RAINFALL</t>
  </si>
  <si>
    <t>Joint pollen and oxygen isotope data from Ocean Drilling Program Site 1234 in the southeast Pacific provide the first, continuous record of temperate South American vegetation and climate from the last 140 ka. Located at similar to 36 degrees S, similar to 65 km offshore of Concepcion, Chile, Site 1234 monitors the climatic transition zone between northern semi-arid, summer dry-winter wet climate and southern year-round, rainy, cool temperate climate. Dominance of onshore winds suggests that pollen preserved here reflects transport to the ocean via rivers that drain the region and integrate conditions from the coastal mountains to the Andean foothills. Down-hole changes in diagnostic pollen assemblages from xeric lowland deciduous forest (characterized by grasses, herbs, ferns, and trees such as deciduous beech, Nothofagus obliqua), mesic Valdivian Evergreen Forest (including conifers such as the endangered Prummopitys andina), and Subantarctic Evergreen Rainforest (comprised primarily of southern beech, N. donnbeyi) reveal large rapid shifts that likely reflect latitudinal movements in atmospheric circulation and storm tracks associated with the southern westerly winds. During glacial intervals (MIS 2-4, and 6), rainforests and parkland dominated by Nothofagus moved northward into the region. At the MIS 6/5e transition, coeval with the rapid shift to lower isotopic values, rainforest vegetation was rapidly replaced by xeric plant communities associated with Mediterranean-type climate. An increased prominence of halophytic vegetation suggests that MIS 5e was more and and possibly warmer than MIS 1. Although rainforest pollen rises again at the end of MIS 5e, lowland deciduous forest pollen persists through MIS 5d and 5c, into MIS 5b. Substantial millennial-scale variations occur in both interglacial and glacial regimes, attesting to the sensitivity of the southern westerly belt to climate change. Comparison of the cool, mesic N. dombeyi rainforest assemblage from Site 1234 with 6180 in the Byrd Ice core shows that on time scales longer than similar to 10 ka, cool-moist conditions in central Chile were coherent with and occurred in phase with Antarctic cooling. This is also likely at millennial scales, although rainforest pollen lags Antarctic cooling with exponential response times of about 1000 years, which plausibly reflects the ecological response time to regional climate change. (c) 2006 Elsevier Ltd. All rights reserved.</t>
  </si>
  <si>
    <t>Oregon State Univ, Coll Ocean &amp; Atmospher Sci, Corvallis, OR 97331 USA; Woods Hole Oceanog Inst, Woods Hole, MA 02543 USA</t>
  </si>
  <si>
    <t>Oregon State University; Woods Hole Oceanographic Institution</t>
  </si>
  <si>
    <t>Heusser, L (corresponding author), 100 Clinton Rd, Tuxedo Pk, NY 10987 USA.</t>
  </si>
  <si>
    <t>Heusser@ldeo.columbia.edu</t>
  </si>
  <si>
    <t>mcmanus, jerry/0000-0002-7365-1600</t>
  </si>
  <si>
    <t>10.1016/j.quascirev.2006.03.011</t>
  </si>
  <si>
    <t>WOS:000244921200023</t>
  </si>
  <si>
    <t>Yin, XB; Liu, XD; Sun, LG; Zhu, RB; Xie, ZQ; Wang, YH</t>
  </si>
  <si>
    <t>Yin, Xuebin; Liu, Xiaodong; Sun, Liguang; Zhu, Renbin; Xie, Zhouqing; Wang, Yuhong</t>
  </si>
  <si>
    <t>A 1500-year record of lead, copper, arsenic, cadmium, zinc level in Antarctic seal hairs and sediments</t>
  </si>
  <si>
    <t>Antarctica; seal hair; excrement; heavy metal; anthropogenic source; natural source</t>
  </si>
  <si>
    <t>ARCTIC LAKE-SEDIMENTS; HEAVY-METALS; SNOW RECORD; MERCURY; POLLUTION; ICE; DEPOSITION; CIVILIZATIONS; HEMISPHERE; AEROSOL</t>
  </si>
  <si>
    <t>To reconstruct the profiles of heavy metal levels in the South Ocean ecosystem of Antarctica, the concentrations of lead (Pb), copper (Cu), arsenic (As), cadmium (Cd), and zinc (Zn) in seal hairs and lake sediments spanning the past 1500 years from Fildes Peninsula of King George Island and in weathering lake sediments from Nelson Island of West Antarctica were determined. The lead contents in the seal hairs and the weathering sediments show a sharp increase since the late 1800s, very likely due to anthropogenic contamination from modem industries. After the 1980s, the Ph content in seal hairs dropped by one-third, apparently due to the reduced usage of leaded gasoline in the Southern Hemisphere. Copper arises mainly from the weathering process, and its level may be substantially affected by climatic conditions. The concentrations of Cd, As, and Zn do not show any clear temporal trends. (c) 2006 Published by Elsevier B.V.</t>
  </si>
  <si>
    <t>Univ Sci &amp; Technol China, Inst Polar Environm, Hefei 230026, Anhui, Peoples R China; Chinese Acad Sci, Inst Soil Sci, State Key Lab Soil &amp; Sustainable Agr, Nanjing 210008, Jiangsu, Peoples R China; Univ Sci &amp; Technol China, Sch Earth &amp; Space Sci, CAS Key Lab Crust Mantle Mat &amp; Environm, Hefei 230026, Anhui, Peoples R China; NIH, Bethesda, MD 20892 USA</t>
  </si>
  <si>
    <t>Chinese Academy of Sciences; University of Science &amp; Technology of China, CAS; Chinese Academy of Sciences; Nanjing Institute of Soil Science, CAS; Chinese Academy of Sciences; University of Science &amp; Technology of China, CAS; National Institutes of Health (NIH) - USA</t>
  </si>
  <si>
    <t>Sun, LG (corresponding author), Univ Sci &amp; Technol China, Inst Polar Environm, Hefei 230026, Anhui, Peoples R China.</t>
  </si>
  <si>
    <t>slg@ustc.edu.cn</t>
  </si>
  <si>
    <t>xie, zhouqing/P-9661-2019</t>
  </si>
  <si>
    <t>10.1016/j.scitotenv.2006.07.022</t>
  </si>
  <si>
    <t>111DH</t>
  </si>
  <si>
    <t>WOS:000242431100025</t>
  </si>
  <si>
    <t>Maciolek, NJ; Blake, JA</t>
  </si>
  <si>
    <t>Maciolek, Nancy J.; Blake, James A.</t>
  </si>
  <si>
    <t>Opheliidae (Polychaeta) collected by the R/V Hero and the USNS Eltanin cruises from the Southern Ocean and South America</t>
  </si>
  <si>
    <t>SCIENTIA MARINA</t>
  </si>
  <si>
    <t>8th International Polychaete Conference</t>
  </si>
  <si>
    <t>JUL, 2004</t>
  </si>
  <si>
    <t>Univ Autonoma Madrid, Madrid, SPAIN</t>
  </si>
  <si>
    <t>Univ Autonoma Madrid</t>
  </si>
  <si>
    <t>Antarctica; Peru; Opheliidae; Ophelia; Ophelina; Travisia; systematics; polychaete</t>
  </si>
  <si>
    <t>Opheliid polychaetes collected by the United States Antarctic Research Program and additional material from South America were made available for Study through the Smithsonian Institution. Washington, D.C., USA. The Opheliidae from Antarctic seas were treated by Hartman (1966, 1967, 1978). who summarized earlier work and also described several new species. Of the five genera she recorded, two (Travisia and Kesun) have since been synonymized and one, Ammotrypane, has been referred to Ophelina; Hartman's records therefore encompass four genera, three of which are represented in the present collections. No representatives of Euzonus (Thoracophelia) were found. The following species were recorded from Antarctica in the present Study: Ophelia algida n. sp., Ophelina breviata (Ehlers, 1913), Ophelina cf. cylindricaudata (sensu Hartmann-Schroder and Rosenfeldt. 1989), Ophelina nematoides (Ehlers. 1913), Ophelina scaphigera (Ehlers, 1900), Ophelina cf. setigera (Hartman, 1978), Ophelina syringopyge (Ehlers, 1901). Travisia antarctica Hartman, 1967 (emended 1978), Travisia kerguelensis McIntosh, 1885, Travisia kerguelensis gravieri Monro, 1930, Travisia palmeri n. sp. and Travisia tincta n. sp. The new species of Ophelia is distinguished by having branchiae starting on chaetiger 2 (rather than on or after chaetiger 8 as in most species of this genus). Travisia palmeri has 22 chaetigers and is distinguished by long branchiae. Travisia kerguelensis gravieri is raised to full species status and renamed T. monroi. Travisia tincta n. sp., distinguished by a distinctive Methyl Green staining pattern and long branchiae, is described from off Peru.</t>
  </si>
  <si>
    <t>ENSR Marine &amp; Coastal Ctr, Woods Hole, MA 02543 USA</t>
  </si>
  <si>
    <t>Maciolek, NJ (corresponding author), ENSR Marine &amp; Coastal Ctr, 89 Water St, Woods Hole, MA 02543 USA.</t>
  </si>
  <si>
    <t>njmaciolek@gmail.com</t>
  </si>
  <si>
    <t>INST CIENCIAS MAR BARCELONA</t>
  </si>
  <si>
    <t>PG MARITIM DE LA BARCELONETA, 37-49, 08003 BARCELONA, SPAIN</t>
  </si>
  <si>
    <t>0214-8358</t>
  </si>
  <si>
    <t>1886-8134</t>
  </si>
  <si>
    <t>SCI MAR</t>
  </si>
  <si>
    <t>Sci. Mar.</t>
  </si>
  <si>
    <t>10.3989/scimar.2006.70s3101</t>
  </si>
  <si>
    <t>147YS</t>
  </si>
  <si>
    <t>WOS:000245042300012</t>
  </si>
  <si>
    <t>Garraffoni, ARS; Nihei, SS; Lana, PD</t>
  </si>
  <si>
    <t>Senna Garraffoni, Andre Rinaldo; Nihei, Silvio Shigueo; Lana, Paulo Da Cunha</t>
  </si>
  <si>
    <t>Distribution patterns of Terebellidae (Annelida: Polychacta):: an application of Parsimony Analysis of Endemicity (PAE)</t>
  </si>
  <si>
    <t>marine biogeography; historical biogeography; areas of endemicity; Terebellinae; Polycirrinae; Thelepodinae; Trichobranchinae</t>
  </si>
  <si>
    <t>NEW-ZEALAND; TRICHOBRANCHIDAE; BIOGEOGRAPHY; EXAMPLE; AREAS; GENUS</t>
  </si>
  <si>
    <t>The biogeoraphy of Terebellidae (Polychaeta) using Parsimony Analysis of Endemism (PAE) is investigated and species and genera distribution in relation to coastal and continental shelf areas of endemism around the world is considered. Hierarchical patterns in PAE cladograms are identified by testing for congruence with patterns derived front cladistic biogeography and geological evidence. The PAE cladogram indicates that many of the extant terebellid worms front the current Southern Hemisphere (Gondwanan clades) have originated from Laurasian ancestors or, in the case of the clade formed by Brazilian, South Atlantic and Antarctic taxa, have descended directly from an ancestral lineage common to some Northern areas. The present analysis also shows a high level of endemisin at the species level. Relationships of the areas differ slightly from previous biogeographical analyses applied to other polychaete families.</t>
  </si>
  <si>
    <t>Univ Fed Parana, Ctr Estudos Mar, BR-83255000 Pontal Do Parana, PR, Brazil; Univ Fed Parana, Dept Zool, Setor Ciencias Biol, Curso Posgrad Ciencias Biol, BR-80060000 Curitiba, Parana, Brazil</t>
  </si>
  <si>
    <t>Universidade Federal do Parana; Universidade Federal do Parana</t>
  </si>
  <si>
    <t>Garraffoni, ARS (corresponding author), Univ Fed Parana, Ctr Estudos Mar, Av Beira Mar SN,CP 50002, BR-83255000 Pontal Do Parana, PR, Brazil.</t>
  </si>
  <si>
    <t>garraffoni@ufpr.br</t>
  </si>
  <si>
    <t>Nihei, Silvio/D-3615-2012; Lana, Paulo C/A-9325-2010; Garraffoni, Andre Rinaldo Senna/K-6718-2012</t>
  </si>
  <si>
    <t>Nihei, Silvio/0000-0002-6887-6282; Garraffoni, Andre Rinaldo Senna/0000-0002-6303-7244</t>
  </si>
  <si>
    <t>CONSEJO SUPERIOR INVESTIGACIONES CIENTIFICAS-CSIC</t>
  </si>
  <si>
    <t>VITRUVIO 8, 28006 MADRID, SPAIN</t>
  </si>
  <si>
    <t>WOS:000245042300029</t>
  </si>
  <si>
    <t>Petryashov, VV</t>
  </si>
  <si>
    <t>Petryashov, V. V.</t>
  </si>
  <si>
    <t>Mysids (Crustacea, Mysidacea) of the Antarctic and Subantarctic from the collection of the Zoological Institute, Russian Academy of Sciences.: Mysida: Erythropini and Amblyopsini tribes</t>
  </si>
  <si>
    <t>Until recently, 2 species of mysids of the tribe Erythropini and 18 Amblyopsini species were known to inhabit the Antarctic and Subantarctic to the south of the subtropic convergence in the southern hemisphere. Sixty samples of mysids of these tribes (196 specimens) were collected in expeditions during 1956-2000 and kept at the Zoological Institute. Three species of the tribe Erythropini (2 species were found in the Subantarctic for the first time) and 9 species of the tribe Amblyopsini are in the collection of this insitute. New data oil the geographical and bathymetric distribution of these mysid species, as well as the first regional key for the identification of Leptomysini and Mysini species are presented. The variability of some morphological structures in the species of these tribes Lire discussed.</t>
  </si>
  <si>
    <t>Petryashov, VV (corresponding author), Russian Acad Sci, Inst Zool, St Petersburg 199034, Russia.</t>
  </si>
  <si>
    <t>MEZHDUNARODNAYA KNIGA</t>
  </si>
  <si>
    <t>39 DIMITROVA UL., 113095 MOSCOW, RUSSIA</t>
  </si>
  <si>
    <t>130DG</t>
  </si>
  <si>
    <t>WOS:000243779000002</t>
  </si>
  <si>
    <t>Macrì, P; Sagnotti, L; Lucchi, RG; Rebesco, M</t>
  </si>
  <si>
    <t>Macri, Patrizia; Sagnotti, Leonardo; Lucchi, Renata Giulia; Rebesco, Michele</t>
  </si>
  <si>
    <t>A stacked record of relative geomagnetic paleointensity for the past 270 kyr from the western continental rise of the Antarctic Peninsula</t>
  </si>
  <si>
    <t>paleomagnetism; geomagnetic relative paleointensity; environmental magnetism; antarctica</t>
  </si>
  <si>
    <t>OCEAN DRILLING PROGRAM; EARTHS MAGNETIC-FIELD; NORTH-ATLANTIC; ENVIRONMENTAL MAGNETISM; SEDIMENTARY RECORDS; SOUTH ATLANTIC; PALEOMAGNETIC RECORD; EQUATORIAL PACIFIC; JARAMILLO SUBCHRON; SHORT EVENTS</t>
  </si>
  <si>
    <t>Paleomagnetic and rock magnetic investigations were carried out on four gravity cores recovered from the western continental rise of the Antarctic Peninsula during the SEDANO II cruise of RV OGS-Explora. The studied cores, each about 6.5 m-long, were collected at a depth of 3700-4100 m below the sea level, on the distal gentle side of sediment Drift 7, and consist of very fine-grained sediments spanning through various glacial-interglacial cycles. Detailed analysis of the paleomagnetic and rock magnetic data allowed to reconstruct relative paleointensity (RPI) records (NRM20 mT/ARM(20 mT)) for each core. We established a refined age model for the studied sequences by correlating individual SEDANO RPI curves to the global RPI stack SINT-800 [Y. Guyodo, J.-P. Valet, Global changes in intensity of the Earth's magnetic field during the past 800 kyr, Nature 399 (1999) 249-252]. The individual normalized SEDANO RPI records are in mutual close agreement; they were thus merged in a RPI stacking curve spanning the last 270 kyr and showing a low standard deviation. This study also points out that RPI records may provide a viable tool to date otherwise difficult-to-date sedimentary sequences, such as those deposited along peri-Antarctic margins. The new RPI chronology indicates that the sampled sedimentary sequence is younger than previously thought and allows a new high-resolution correlation to oxygen isotope stages. Furthermore, we recognized variations in the rock magnetic parameters that appear to be climatically-driven, with changes in the relative proportion of two magnetic mineral populations with distinct coercivities. Rock magnetic and lithological trends observed in the SEDANO cores indicate that during the climatic cycles of the Late Pleistocene this sector of the peri-Antarctic margin was subjected to subtle, yet identifiable, environmental changes, confirming a relatively higher instability of the West Antarctic ice sheet with respect to the East Antarctic counterpart. (c) 2006 Elsevier B.V. All rights reserved.</t>
  </si>
  <si>
    <t>Ist Nazl Geofis &amp; Vulcanol, I-00143 Rome, Italy; Univ Barcelona, GRC Geosci Marines, P I Geosci Marines, E-08028 Barcelona, Spain; Ist Nazl Oceanog &amp; Geofis Sperimentale, OGS, I-34010 Sgonico, Trieste, Italy</t>
  </si>
  <si>
    <t>Istituto Nazionale Geofisica e Vulcanologia (INGV); University of Barcelona; Istituto Nazionale di Oceanografia e di Geofisica Sperimentale</t>
  </si>
  <si>
    <t>Macrì, P (corresponding author), Ist Nazl Geofis &amp; Vulcanol, Via Vigna Murata 605, I-00143 Rome, Italy.</t>
  </si>
  <si>
    <t>macri@ingv.it</t>
  </si>
  <si>
    <t>Macrì, Patrizia/ABD-2144-2021; Rebesco, Michele/B-7462-2014; Sagnotti, Leonardo/AFM-3916-2022</t>
  </si>
  <si>
    <t>Macrì, Patrizia/0000-0003-2287-4019; Rebesco, Michele/0000-0002-9492-4081; Sagnotti, Leonardo/0000-0003-3944-201X; Lucchi, Renata Giulia/0000-0001-5111-6968</t>
  </si>
  <si>
    <t>NOV 30</t>
  </si>
  <si>
    <t>10.1016/j.epsl.2006.09.037</t>
  </si>
  <si>
    <t>117GE</t>
  </si>
  <si>
    <t>WOS:000242860200013</t>
  </si>
  <si>
    <t>Castebrunet, H; Genthon, C; Martinerie, P</t>
  </si>
  <si>
    <t>Castebrunet, H.; Genthon, C.; Martinerie, P.</t>
  </si>
  <si>
    <t>Sulfur cycle at Last Glacial Maximum: Model results versus Antarctic ice core data</t>
  </si>
  <si>
    <t>SEA-SALT SULFATE; SOUTHERN-OCEAN; DIMETHYLSULFIDE; CLIMATE; TEMPERATURE; PROJECT; ACID</t>
  </si>
  <si>
    <t>For the first time, an atmospheric general circulation and sulfur chemistry model is used to simulate sulfur deposition in Antarctica at the Last Glacial Maximum (LGM). Dimethylsulfide (DMS), emitted by phytoplankton, is the dominant source of atmospheric sulfur in Antarctica. Once in the atmosphere, it is oxidized into sulfur aerosols which are measured in ice cores. Such measurements allow for validating climate and chemistry models for glacial-interglacial changes. Our glacial simulations test the effect of a recent re-evaluation of glacial sea-ice coverage on DMS sources and sulfur aerosol deposition. Using the present-day oceanic concentrations of DMS, the model reproduces observed glacial and interglacial sulfur concentrations in the ice. This result suggests that climate change at the LGM did not greatly impact on DMS production in the oceanic sectors where sulfur aerosols deposited in central East Antarctica originate from.</t>
  </si>
  <si>
    <t>Lab Glaciol &amp; Geophys Environm, F-38402 St Martin Dheres, France</t>
  </si>
  <si>
    <t>Castebrunet, H (corresponding author), Lab Glaciol &amp; Geophys Environm, BP 96, F-38402 St Martin Dheres, France.</t>
  </si>
  <si>
    <t>castebrunet@lgge.obs.ujf-grenoble.fr</t>
  </si>
  <si>
    <t>Martinerie, Patricia/N-5731-2017</t>
  </si>
  <si>
    <t>Martinerie, Patricia/0000-0002-6820-2296</t>
  </si>
  <si>
    <t>L22711</t>
  </si>
  <si>
    <t>10.1029/2006GL027681</t>
  </si>
  <si>
    <t>115MS</t>
  </si>
  <si>
    <t>WOS:000242739000005</t>
  </si>
  <si>
    <t>Sensiava longiseta (Copepoda, Calanoida):: a new genus and species from the abyss of the Weddell Sea</t>
  </si>
  <si>
    <t>Copepoda; Calanoida; Sensiava gen. nov.; taxonomy; benthopelagic; Weddell Sea</t>
  </si>
  <si>
    <t>BENTHOPELAGIC WATERS; TROPICAL PACIFIC; ANTARCTIC OCEAN; NEW-ZEALAND; CRUSTACEA; SCOLECITRICHIDAE; XANTHOCALANUS; COLONIZATION; PHAENNIDAE; ATLANTIC</t>
  </si>
  <si>
    <t>Sensiava longiseta gen. et sp. nov. is described from male specimens collected at abyssal depths above the seabed in the Weddell Sea ( Southern Ocean). Segmentation and setation of the swimming legs of the new species are typical of the superfamily Clausocalanoidea. Although the new genus shares the presence of sensory setae on the maxilla with the Bradfordian families of the Clausocalanoidea, it does not fit the diagnosis of any of these families. Sensiava longiseta shares with the ancestral group of Bradfordian genera a 1,2,3 setal pattern on the praecoxal endites of the maxilliped and, therefore is provisionally placed within Diaixidae. Sensiava longiseta shows marked asymmetry in the antennule; the right limb is geniculated with ancestral segments XIX - XXIII morphologically modified. The presence of this well pronounced, geniculated antennule is up to now the most striking example of this feature and regarded as an ancestral character in the advanced superfamily Clausocalanoidea.</t>
  </si>
  <si>
    <t>Russian Acad Sci, Inst Zool, St Petersburg 199034, Russia; DZMB Senckenberg, Biozentrum Grindel, D-20146 Hamburg, Germany; DZMB Senckenberg, Museum Zool, D-20146 Hamburg, Germany</t>
  </si>
  <si>
    <t>Russian Academy of Sciences; Zoological Institute of the Russian Academy of Sciences; University of Hamburg; University of Hamburg</t>
  </si>
  <si>
    <t>Markhaseva, EL (corresponding author), Russian Acad Sci, Inst Zool, Univ Skaya Nab 1, St Petersburg 199034, Russia.</t>
  </si>
  <si>
    <t>copepoda@zin.ru; kschulz@zoologie.uni-hamburg.de</t>
  </si>
  <si>
    <t>110MD</t>
  </si>
  <si>
    <t>WOS:000242382100001</t>
  </si>
  <si>
    <t>Matsuoka, N; Thomachot, CE; Oguchi, CT; Hatta, T; Abe, M; Matsuzaki, H</t>
  </si>
  <si>
    <t>Matsuoka, Norikazu; Thomachot, Celine E.; Oguchi, Chiaki T.; Hatta, Tamao; Abe, Masahiro; Matsuzaki, Hiroyuki</t>
  </si>
  <si>
    <t>Quaternary bedrock erosion and landscape evolution in the Sor Rondane Mountains, East Antarctica: Reevaluating rates and processes</t>
  </si>
  <si>
    <t>GEOMORPHOLOGY</t>
  </si>
  <si>
    <t>Antarctica; weathering; soil; erosion; cosmogenic exposure age</t>
  </si>
  <si>
    <t>DRY VALLEYS; EXPOSURE AGES; COSMOGENIC NUCLIDES; COLD DESERT; IN-SITU; BE-10; AL-26; LANDFORM; HISTORY</t>
  </si>
  <si>
    <t>Rates and processes of rock weathering, soil formation, and mountain erosion during the Quaternary were evaluated in an inland Antarctic cold desert. The fieldwork involved investigations of weathering features and soil profiles for different stages after deglaciation. Laboratory analyses addressed chemistry of rock coatings and soils, as well as Be-10 and Al-26 exposure ages of the bedrock. Less resistant gneiss bedrock exposed over 1 Ma shows stone pavements underlain by in situ produced silty soils thinner than 40 cm and rich in sulfates, which reflect the active layer thickness, the absence of cryoturbation, and the predominance of salt weathering. During the same exposure period, more resistant granite bedrock has undergone long-lasting cavernous weathering that produces rootless mushroom-like boulders with a strongly Fe-oxidized coating. The red coating protects the upper surface from weathering while very slow microcracking progresses by the growth of sulfates. Geomorphological evidence and cosmogenic exposure ages combine to provide contrasting average erosion rates. No erosion during the Quaternary is suggested by a striated roche moutonnee exposed more than 2 Ma ago. Differential erosion between granite and gneiss suggests a significant lowering rate of desert pavements in excess of 10 m Ma(-1). The landscape has been (on the whole) stable, but the erosion rate varies spatially according to microclimate, geology, and surface composition. (c) 2006 Elsevier B.V. All rights reserved.</t>
  </si>
  <si>
    <t>Univ Tsukuba, Grad Sch Life &amp; Environm Sci, Tsukuba, Ibaraki 3058572, Japan; Univ Reims, Grp Etud Geomat &amp; Environm Nat &amp; Anthrop, F-51100 Reims, France; Saitama Univ, Geosphere Res Inst, Urawa, Saitama 3388570, Japan; Japan Int Res Ctr Agr Sci, Tsukuba, Ibaraki 3058686, Japan; Univ Tokyo, Nucl Sci &amp; Technol Res Ctr, Tokyo 1130032, Japan</t>
  </si>
  <si>
    <t>University of Tsukuba; Universite de Reims Champagne-Ardenne; Saitama University; Japan International Research Center for Agricultural Sciences; University of Tokyo</t>
  </si>
  <si>
    <t>Matsuoka, N (corresponding author), Univ Tsukuba, Grad Sch Life &amp; Environm Sci, Tsukuba, Ibaraki 3058572, Japan.</t>
  </si>
  <si>
    <t>matsuoka@atm.geo.tsukuba.ac.jp</t>
  </si>
  <si>
    <t>Matsuoka, Norikazu/A-6520-2009</t>
  </si>
  <si>
    <t>Matsuoka, Norikazu/0000-0003-2832-179X; Thomachot-Schneider, Celine/0000-0002-2244-7650</t>
  </si>
  <si>
    <t>0169-555X</t>
  </si>
  <si>
    <t>Geomorphology</t>
  </si>
  <si>
    <t>NOV 29</t>
  </si>
  <si>
    <t>10.1016/j.geomorph.2006.05.005</t>
  </si>
  <si>
    <t>117NJ</t>
  </si>
  <si>
    <t>WOS:000242879700013</t>
  </si>
  <si>
    <t>Lin, JC; Chen, QX; Xie, XL; Zhuang, ZL; Shi, Y; Huang, QS</t>
  </si>
  <si>
    <t>Lin, Jian-Cheng; Chen, Qing-Xi; Xie, Xiao-Lan; Zhuang, Zong-Lai; Shi, Yan; Huang, Qian-Sheng</t>
  </si>
  <si>
    <t>Irreversible kinetics of β-N-acetyl-D-glucosaminidase from prawn (Penaeus vannamei) inactivated by mercuric ion</t>
  </si>
  <si>
    <t>JOURNAL OF EXPERIMENTAL MARINE BIOLOGY AND ECOLOGY</t>
  </si>
  <si>
    <t>beta-N-acetyl-D-ghleosaminidase; cysteine residue; inactivation; kinetics; mercuric ion; prawn (Penaeus vannamei)</t>
  </si>
  <si>
    <t>CRAB SCYLLA-SERRATA; ALKALINE-PHOSPHATASE; SUBSTRATE REACTION; MOLECULAR-CLONING; ANTARCTIC KRILL; ENZYME-ACTIVITY; ZINC IONS; PURIFICATION; INHIBITION; ACETYLGLUCOSAMINIDASE</t>
  </si>
  <si>
    <t>Cysteme residues in prawn (Penaeus vannamei) beta-N-acetyl-D-glucosaminidase (NAGase, EC 3.2.1.52) have been modified by p-chloromercuribenzoate (PCMB). The results show that sulfhydryl group is essential for the activity of the enzyme. Inactivation kinetics of the enzyme by mercuric chloride (HgCl2) has been studied using the kinetic method of the substrate reaction during inactivation of enzyme previously described by Tsou. The kinetic results show that the inactivation of the enzyme is an irreversible reaction. The microscopic rate constants for the reaction of Hg2+ with free enzyme and with the enzyme-substrate complex are determined. Comparison of these rate constants indicates that the presence of substrate offers marked protection of this enzyme against inactivation by Hg2+. The above results suggest that the cysteine residue is essential for activity. (c) 2006 Published by Elsevier B.V.</t>
  </si>
  <si>
    <t>Xiamen Univ, Key Lab Minist Educ Cell Biol &amp; Tumor Cell Engn, Sch Life Sci, Xiamen 361005, Peoples R China; Putian Univ, Environm &amp; Life Sci Dept, Putian 351100, Peoples R China; Quanzhou Normal Univ, Sch Chem &amp; Life Sci, Quanzhou 362000, Peoples R China</t>
  </si>
  <si>
    <t>Xiamen University; Putian University; Quanzhou Normal University</t>
  </si>
  <si>
    <t>Chen, QX (corresponding author), Xiamen Univ, Key Lab Minist Educ Cell Biol &amp; Tumor Cell Engn, Sch Life Sci, Xiamen 361005, Peoples R China.</t>
  </si>
  <si>
    <t>chenqx@jingxian.xmu.edu.cn</t>
  </si>
  <si>
    <t>Shi, Y/G-3964-2010; Chen, QX/G-4600-2010</t>
  </si>
  <si>
    <t>0022-0981</t>
  </si>
  <si>
    <t>J EXP MAR BIOL ECOL</t>
  </si>
  <si>
    <t>J. Exp. Mar. Biol. Ecol.</t>
  </si>
  <si>
    <t>NOV 28</t>
  </si>
  <si>
    <t>10.1016/j.jembe.2006.06.002</t>
  </si>
  <si>
    <t>101AY</t>
  </si>
  <si>
    <t>WOS:000241712500003</t>
  </si>
  <si>
    <t>Schofield, R; Johnston, PV; Thomas, A; Kreher, K; Connor, BJ; Wood, S; Shooter, D; Chipperfield, MP; Richter, A; von Glasow, R; Rodgers, CD</t>
  </si>
  <si>
    <t>Schofield, R.; Johnston, P. V.; Thomas, A.; Kreher, K.; Connor, B. J.; Wood, S.; Shooter, D.; Chipperfield, M. P.; Richter, A.; von Glasow, R.; Rodgers, C. D.</t>
  </si>
  <si>
    <t>Tropospheric and stratospheric BrO columns over Arrival Heights, Antarctica, 2002</t>
  </si>
  <si>
    <t>ABSORPTION CROSS-SECTIONS; GROUND-BASED MEASUREMENTS; CHEMICAL-TRANSPORT MODEL; SURFACE OZONE DEPLETION; ZENITH-SKY SPECTRA; TEMPERATURE-DEPENDENCE; NITROGEN-DIOXIDE; BOUNDARY-LAYER; POLAR SUNRISE; INTERCOMPARISON EXERCISE</t>
  </si>
  <si>
    <t>[1] Spectroscopic measurements of BrO using direct sun and zenith sky viewing geometries are combined in an optimal estimation retrieval algorithm to obtain tropospheric and stratospheric columns of BrO. Twenty-two twilight periods are investigated over Arrival Heights, Antarctica (77.8 degrees S, 166.7 degrees E) during the polar spring period of 2002. This paper presents the first tropospheric and stratospheric BrO column retrievals from UV-visible ground-based measurements for a polar location. A direct comparison is made between stratospheric columns retrieved at 80 degrees, 84 degrees, and 88 degrees solar zenith angles (SZA) from the spectroscopic measurements and those calculated by the SLIMCAT three-dimensional chemical transport model. The ground-based column BrO observations are consistent with a SLIMCAT stratospheric Br-y loading of 21.2 parts per trillion at 20 km. SLIMCAT reproduces the observed sunrise column BrO increase but does not match the sunset observations, which display less variation. The significant warming of the Antarctic polar stratosphere in 2002 led to highly variable stratospheric columns being observed. The observed column BrO decreased with the transition from vortex to extravortex air on 21 September but did not change much following the return of the vortex on 12 October. For the tropospheric column, an almost normal distribution consistent with a background'' of 0.3 +/- 0.3 x 10(13) molecules cm(-2) is observed from the ground (80 degrees, 84 degrees, and 88 degrees for both sunrise and sunset). A statistically significant bromine explosion'' event (at the 2 sigma level) was detected at the end of October with a tropospheric column of 1.8 +/- 0.1 x 10(13) molecules cm(-2). The measured tropospheric columns are compared with the tropospheric Model of Atmospheric Transport and Chemistry-Max Planck Institute for Chemistry version model. The tropospheric BrO sunrise column observations can only be explained with an additional bromine source other than decomposition of CH3Br and downward transport of long-lived bromine from the stratosphere. A comparison with the spaceborne Global Ozone Monitoring Experiment (GOME) found the total columns observed from the ground to be 16-25% smaller than the total columns observed by GOME for SZAs between 80 degrees and 88 degrees.</t>
  </si>
  <si>
    <t>Univ Leeds, Sch Earth &amp; Environm, Inst Atmospher Sci, Leeds LS2 9JT, W Yorkshire, England; Natl Inst Water &amp; Atmospher Phys, Omakau 9182, Cent Otago, New Zealand; Univ Bremen, Inst Environm Phys, D-28359 Bremen, Germany; Univ Oxford, Dept Phys, Oxford OX1 3PU, England; NOAA, Div Chem Sci, Earth Syst Res Lab, Boulder, CO 80305 USA; Univ Auckland, Sch Geog &amp; Environm Sci, Auckland 1, New Zealand; Heidelberg Univ, Inst Expt Phys, D-69120 Heidelberg, Germany</t>
  </si>
  <si>
    <t>University of Leeds; National Institute of Water &amp; Atmospheric Research (NIWA) - New Zealand; University of Bremen; University of Oxford; National Oceanic Atmospheric Admin (NOAA) - USA; University of Auckland; Ruprecht Karls University Heidelberg</t>
  </si>
  <si>
    <t>Schofield, R (corresponding author), Univ Leeds, Sch Earth &amp; Environm, Inst Atmospher Sci, Leeds LS2 9JT, W Yorkshire, England.</t>
  </si>
  <si>
    <t>robyn.schofield@noaa.gov</t>
  </si>
  <si>
    <t>Schofield, Robyn/A-4062-2010; von Glasow, Roland/E-2125-2011; Chipperfield, Martyn/H-6359-2013; Richter, Andreas/C-4971-2008</t>
  </si>
  <si>
    <t>Schofield, Robyn/0000-0002-4230-717X; von Glasow, Roland/0000-0002-3944-2784; Chipperfield, Martyn/0000-0002-6803-4149; Richter, Andreas/0000-0003-3339-212X</t>
  </si>
  <si>
    <t>D22</t>
  </si>
  <si>
    <t>D22310</t>
  </si>
  <si>
    <t>10.1029/2005JD007022</t>
  </si>
  <si>
    <t>115NI</t>
  </si>
  <si>
    <t>WOS:000242740600001</t>
  </si>
  <si>
    <t>Taylor, PD; Feltham, DL; Sammonds, PR; Hatton, D</t>
  </si>
  <si>
    <t>Taylor, P. D.; Feltham, D. L.; Sammonds, P. R.; Hatton, D.</t>
  </si>
  <si>
    <t>Continuum sea ice rheology determined from subcontinuum mechanics</t>
  </si>
  <si>
    <t>ANISOTROPIC MODEL; DYNAMICS; DEFORMATION; THICKNESS; FLOES; PACK</t>
  </si>
  <si>
    <t>A method is presented to calculate the continuum-scale sea ice stress as an imposed, continuum-scale strain-rate is varied. The continuum-scale stress is calculated as the area-average of the stresses within the floes and leads in a region (the continuum element). The continuum-scale stress depends upon: the imposed strain rate; the subcontinuum scale, material rheology of sea ice; the chosen configuration of sea ice floes and leads; and a prescribed rule for determining the motion of the floes in response to the continuum-scale strain-rate. We calculated plastic yield curves and flow rules associated with subcontinuum scale, material sea ice rheologies with elliptic, linear and modified Coulombic elliptic plastic yield curves, and with square, diamond and irregular, convex polygon-shaped floes. For the case of a tiling of square floes, only for particular orientations of the leads have the principal axes of strain rate and calculated continuum-scale sea ice stress aligned, and these have been investigated analytically. The ensemble average of calculated sea ice stress for square floes with uniform orientation with respect to the principal axes of strain rate yielded alignment of average stress and strain-rate principal axes and an isotropic, continuum-scale sea ice rheology. We present a lemon-shaped yield curve with normal flow rule, derived from ensemble averages of sea ice stress, suitable for direct inclusion into the current generation of sea ice models. This continuum-scale sea ice rheology directly relates the size (strength) of the continuum-scale yield curve to the material compressive strength.</t>
  </si>
  <si>
    <t>UCL, Dept Earth Sci, Ctr Polar Observ &amp; Modeling, London WC1E 6BT, England; British Antarctic Survey, Cambridge CB3 0ET, England; UCL, Mineral Ice &amp; Rock Phys Lab, London WC1E 6BT, England</t>
  </si>
  <si>
    <t>University of London; University College London; UK Research &amp; Innovation (UKRI); Natural Environment Research Council (NERC); NERC British Antarctic Survey; University of London; University College London</t>
  </si>
  <si>
    <t>Taylor, PD (corresponding author), UCL, Dept Earth Sci, Ctr Polar Observ &amp; Modeling, Gower St, London WC1E 6BT, England.</t>
  </si>
  <si>
    <t>dlf@cpom.ucl.ac.uk</t>
  </si>
  <si>
    <t>Feltham, Daniel/0000-0003-2289-014X; Hatton, Daniel/0000-0002-4585-3336</t>
  </si>
  <si>
    <t>Natural Environment Research Council [NER/A/S/2001/00640] Funding Source: researchfish</t>
  </si>
  <si>
    <t>NOV 25</t>
  </si>
  <si>
    <t>C11</t>
  </si>
  <si>
    <t>C11015</t>
  </si>
  <si>
    <t>10.1029/2005JC002996</t>
  </si>
  <si>
    <t>110HR</t>
  </si>
  <si>
    <t>WOS:000242369600001</t>
  </si>
  <si>
    <t>McArthur, JM; Rio, D; Massari, F; Castradori, D; Bailey, TR; Thirlwall, M; Houghton, S</t>
  </si>
  <si>
    <t>McArthur, J. M.; Rio, D.; Massari, F.; Castradori, D.; Bailey, T. R.; Thirlwall, M.; Houghton, S.</t>
  </si>
  <si>
    <t>A revised Pliocene record for marine-87Sr/86Sr used to date an interglacial event recorded in the Cockburn Island Formation, Antarctic Peninsula</t>
  </si>
  <si>
    <t>Pliocene; interglacial; Antarctic Peninsula; Sr-isotopes; Sr-87/Sr-86; Punta Piccola</t>
  </si>
  <si>
    <t>STRONTIUM ISOTOPE STRATIGRAPHY; POLARITY TIME-SCALE; REFERENCE SECTION; MIOCENE; SEAWATER; NEOGENE; AGE; SR-87/SR-86; HISTORY; CURVE</t>
  </si>
  <si>
    <t>We present a revised Sr-87/Sr-86-curve for marine-Sr in the interval 2.5-4.5 Ma using analysis of Orbulina universa from the Middle Pliocene type section in Sicily (Punta Piccola section) and a mixed assemblage of planktonic foraminifera from ODP Site 758A and B. The new calibration is used, together with new Sr-87/Sr-86 analysis of pectenid calcite from Cockburn Island, Antarctica, to confirm an age of 4.7 Ma for the pectenids of the Cockburn Island Formation (formerly the Pecten Conglomerate), a unit important in marking a period of warmth and possible glacial retreat in Antarctica. Finally, to aid interlaboratory comparison of Sr-87/Sr-86 data, we calibrate a value of 0.709174 for EN-1 against a value of NIST 987 of 0.709248. (c) 2006 Published by Elsevier B.V.</t>
  </si>
  <si>
    <t>UCL, Dept Earth Sci, London WC1E 6BT, England; Univ Padua, Dept Geol Palaeontol &amp; Geophys, I-35100 Padua, Italy; AGIP SpA, STIG, I-20097 San Donato Milanese, Italy; Univ London Royal Holloway &amp; Bedford New Coll, Dept Geol, Egham TW20 0EX, Surrey, England</t>
  </si>
  <si>
    <t>University of London; University College London; University of Padua; University of London; Royal Holloway University London</t>
  </si>
  <si>
    <t>McArthur, JM (corresponding author), UCL, Dept Earth Sci, Gower St, London WC1E 6BT, England.</t>
  </si>
  <si>
    <t>j.mcarthur@ucl.ac.uk</t>
  </si>
  <si>
    <t>McArthur, John/0000-0003-1461-7805; McArthur, John/0000-0003-1461-7805; Massari, Francesco/0000-0002-9951-2924; Bailey, Trevor/0000-0001-6428-1794</t>
  </si>
  <si>
    <t>NOV 24</t>
  </si>
  <si>
    <t>10.1016/j.palaeo.2006.06.004</t>
  </si>
  <si>
    <t>111OS</t>
  </si>
  <si>
    <t>WOS:000242463400008</t>
  </si>
  <si>
    <t>Burkhart, JF; Bales, RC; McConnell, JR; Hutterli, MA</t>
  </si>
  <si>
    <t>Burkhart, John F.; Bales, Roger C.; McConnell, Joseph R.; Hutterli, Manuel A.</t>
  </si>
  <si>
    <t>Influence of North Atlantic Oscillation on anthropogenic transport recorded in northwest Greenland ice cores</t>
  </si>
  <si>
    <t>SINGULAR-SPECTRUM ANALYSIS; REACTIVE NITROGEN; CLIMATE-CHANGE; NITRATE; ACCUMULATION; FIRN; PRECIPITATION; VARIABILITY; SULFATE; SUMMIT</t>
  </si>
  <si>
    <t>Nitrate records from six Greenland ice cores covering the period 1789 to 1995 show a significant correlation in concentration for averaging periods greater than 10 years, as well as an approximately 60% increase in average concentration during the last 75 years. Annual nitrate fluxes contain low-frequency trends driven primarily by changes in concentration, while higher-frequency variability is driven by changes in snow accumulation. Increases in concentration yield nearly 30% higher nitrate flux (2.5 to 3.2 mu g m(-2) yr(-1)) and an 11% increase in variability during the 1895 to 1994 period versus the prior 100 years. Nitrate trends in the cores during the last 100 years are also correlated with global nitrate emissions, with a highly significant average r value of 0.93 for the six cores. During the period of anthropogenic influence, nitrate is positively correlated with the North Atlantic Oscillation, while prior to that the correlation is negative, and less significant, suggesting a link between transport of anthropogenic emissions and the North Atlantic Oscillation. Significant preanthropogenic periodicities identified through singular spectrum analysis show decadal variability in the nitrate record leading to shifts as great as 30% from the mean state but none as great as the anthropogenic-driven deviation.</t>
  </si>
  <si>
    <t>Univ Calif Merced, Sch Engn, Merced, CA 95301 USA; British Antarctic Survey, Cambridge CB3 0ET, England; Desert Res Inst, Div Hydrol Sci, Reno, NV 89512 USA</t>
  </si>
  <si>
    <t>University of California System; University of California Merced; UK Research &amp; Innovation (UKRI); Natural Environment Research Council (NERC); NERC British Antarctic Survey; Nevada System of Higher Education (NSHE); Desert Research Institute NSHE</t>
  </si>
  <si>
    <t>Burkhart, JF (corresponding author), Univ Calif Merced, Sch Engn, Merced, CA 95301 USA.</t>
  </si>
  <si>
    <t>jburkhart@ucmerced.edu</t>
  </si>
  <si>
    <t>Burkhart, John/AAB-4744-2021; Burkhart, John/B-7095-2008</t>
  </si>
  <si>
    <t>Burkhart, John/0000-0002-5587-1693; Burkhart, John/0000-0002-5587-1693</t>
  </si>
  <si>
    <t>NOV 23</t>
  </si>
  <si>
    <t>D22309</t>
  </si>
  <si>
    <t>10.1029/2005JD006771</t>
  </si>
  <si>
    <t>110HH</t>
  </si>
  <si>
    <t>WOS:000242368600002</t>
  </si>
  <si>
    <t>Uenzelmann-Neben, G</t>
  </si>
  <si>
    <t>Uenzelmann-Neben, Gabriele</t>
  </si>
  <si>
    <t>Depositional patterns at Drift 7, Antarctic Peninsula: Along-slope versus down-slope sediment transport as indicators for oceanic currents and climatic conditions</t>
  </si>
  <si>
    <t>MARINE GEOLOGY</t>
  </si>
  <si>
    <t>sediment drift; depositional patterns; thickness and reflector depth maps; depositional model; Drift 7; Antarctic Peninsula; ODP Leg 178 Sites 1095 and 1096</t>
  </si>
  <si>
    <t>CONTINENTAL RISE; PACIFIC MARGIN; WATER MASSES</t>
  </si>
  <si>
    <t>Understanding the processes and phases of deep-sea sediment drift formation is essential for a reconstruction of their evolution. This leads to a better understanding of the properties of oceanographic currents active during drift formation and in turn to information on the climatic conditions. A system of sediment drifts at the Antarctic Peninsula Pacific rise has been chosen to learn more about the Neogene evolution of both current systems and palaeo-climate in that area. Drift 7 was extensively surveyed (seismic and sampling), and two ODP Leg 178 sites were drilled there. Using this information, maps of reflectors depth and seismic unit thickness were compiled and interpreted regarding the controlling depositional processes. The depositional model shows an initially major along-slope sediment transport by a SW-setting bottom current (25-15 Ma), which deflected sediment supplied from the continental shelf Between 15 Ma and 9.5 Ma down-slope transport took over as a result of the growth of the Antarctic Peninsula ice sheet. The SW setting bottom current appears to have broken down. Down-slope transport has decreased since 9.5 Ma, but a re-onset of the bottom current can only be observed since 5.3 Ma. The analysis has further shown that the nucleus of the drift is connected to a basement ridge. It is hence inferred that basement topography played a major role in the formation of this sediment drift. (c) 2006 Elsevier B.V. All rights reserved.</t>
  </si>
  <si>
    <t>Uenzelmann-Neben, G (corresponding author), Alfred Wegener Inst Polar &amp; Marine Res, Postfach 120161, D-27515 Bremerhaven, Germany.</t>
  </si>
  <si>
    <t>guenzelmann@awi-bremerhaven.de</t>
  </si>
  <si>
    <t>Uenzelmann-Neben, Gabriele/AAI-8618-2020</t>
  </si>
  <si>
    <t>Uenzelmann-Neben, Gabriele/0000-0002-0115-5923</t>
  </si>
  <si>
    <t>0025-3227</t>
  </si>
  <si>
    <t>1872-6151</t>
  </si>
  <si>
    <t>MAR GEOL</t>
  </si>
  <si>
    <t>Mar. Geol.</t>
  </si>
  <si>
    <t>1-4</t>
  </si>
  <si>
    <t>10.1016/j.margeo.2006.08.008</t>
  </si>
  <si>
    <t>Geosciences, Multidisciplinary; Oceanography</t>
  </si>
  <si>
    <t>109TS</t>
  </si>
  <si>
    <t>WOS:000242332300004</t>
  </si>
  <si>
    <t>Scheuer, C; Gohl, K; Eagles, G</t>
  </si>
  <si>
    <t>Scheuer, Carsten; Gohl, Karsten; Eagles, Graeme</t>
  </si>
  <si>
    <t>Gridded isopach maps from the South Pacific and their use in interpreting the sedimentation history of the West Antarctic continental margin</t>
  </si>
  <si>
    <t>Southern Pacific; West Antarctica; isopach grid; continental margin; sedimentation; sediment thickness; glaciation; marine geology and geophysics : marine sediments : processes and transport; marine geology and geophysics : marine seismics (0935,7294); marine geology and geophysics : seafloor morphology, geology and geophysics</t>
  </si>
  <si>
    <t>PINE ISLAND BAY; BELLINGSHAUSEN SEA; SUBDUCTION HISTORY; TECTONIC EVOLUTION; GRAVITY-DATA; RIFT SYSTEM; ICE-SHEET; DEPTH; PENINSULA; RISE</t>
  </si>
  <si>
    <t>We model sediment isopach grids for the southern Pacific margin of West Antarctica on the basis of a compilation of more than 10,000 km of single-channel and multichannel seismic reflection data and correlations with ocean drilling sites. Following recent seismic stratigraphic models, we differentiate two main sequences, the upper of which alone is defined by seismostratigraphic indications for frequent grounded ice advances to the shelf edge off West Antarctica. The subsequent modeling of sediment thickness grids allows us to compare the pre-glacially dominated and glacially dominated sedimentary development of the study area. On the basis of available age constraints from drilling sites, we assume the onset of accumulation of sediments on the continental rise that were supplied by frequent advances of grounding ice on the continental shelf to have occurred at about 10 Ma. The thickest glacial sediment accumulations occur in front of major glacial drainage outlets, i.e., Marguerite Trough on the western Antarctic Peninsula margin, Belgica Trough in the Bellingshausen Sea, and a depression on the inner and middle shelves off Pine Island Bay in the Amundsen Sea. Glacially dominated sedimentation rates of between 140 and 170 m/m.y. are calculated for these sites.</t>
  </si>
  <si>
    <t>Scheuer, C (corresponding author), Alfred Wegener Inst Polar &amp; Marine Res, Postfach 120161, D-27515 Bremerhaven, Germany.</t>
  </si>
  <si>
    <t>cscheuer@awi-bremerhaven.de</t>
  </si>
  <si>
    <t>Eagles, Graeme/0000-0001-5325-0810; Gohl, Karsten/0000-0002-9558-2116</t>
  </si>
  <si>
    <t>NOV 21</t>
  </si>
  <si>
    <t>Q11015</t>
  </si>
  <si>
    <t>10.1029/2006GC001315</t>
  </si>
  <si>
    <t>110GW</t>
  </si>
  <si>
    <t>WOS:000242367400002</t>
  </si>
  <si>
    <t>Serreze, MC; Barrett, AP; Slater, AG; Woodgate, RA; Aagaard, K; Lammers, RB; Steele, M; Moritz, R; Meredith, M; Lee, CM</t>
  </si>
  <si>
    <t>Serreze, Mark C.; Barrett, Andrew P.; Slater, Andrew G.; Woodgate, Rebecca A.; Aagaard, Knut; Lammers, Richard B.; Steele, Michael; Moritz, Richard; Meredith, Michael; Lee, Craig M.</t>
  </si>
  <si>
    <t>The large-scale freshwater cycle of the Arctic</t>
  </si>
  <si>
    <t>SEA-ICE; FRAM STRAIT; BARENTS SEA; ATMOSPHERIC CIRCULATION; SURFACE-TEMPERATURE; BERING STRAIT; HEAT BUDGETS; RIVER RUNOFF; OCEAN; VARIABILITY</t>
  </si>
  <si>
    <t>[ 1] This paper synthesizes our understanding of the Arctic's large-scale freshwater cycle. It combines terrestrial and oceanic observations with insights gained from the ERA-40 reanalysis and land surface and ice-ocean models. Annual mean freshwater input to the Arctic Ocean is dominated by river discharge (38%), inflow through Bering Strait (30%), and net precipitation (24%). Total freshwater export from the Arctic Ocean to the North Atlantic is dominated by transports through the Canadian Arctic Archipelago (35%) and via Fram Strait as liquid (26%) and sea ice (25%). All terms are computed relative to a reference salinity of 34.8. Compared to earlier estimates, our budget features larger import of freshwater through Bering Strait and larger liquid phase export through Fram Strait. While there is no reason to expect a steady state, error analysis indicates that the difference between annual mean oceanic inflows and outflows ( similar to 8% of the total inflow) is indistinguishable from zero. Freshwater in the Arctic Ocean has a mean residence time of about a decade. This is understood in that annual freshwater input, while large ( similar to 8500 km(3)), is an order of magnitude smaller than oceanic freshwater storage of similar to 84,000 km(3). Freshwater in the atmosphere, as water vapor, has a residence time of about a week. Seasonality in Arctic Ocean freshwater storage is nevertheless highly uncertain, reflecting both sparse hydrographic data and insufficient information on sea ice volume. Uncertainties mask seasonal storage changes forced by freshwater fluxes. Of flux terms with sufficient data for analysis, Fram Strait ice outflow shows the largest interannual variability.</t>
  </si>
  <si>
    <t>Univ Colorado, Cooperat Inst Res Environm Sci, Boulder, CO 80309 USA; Univ Washington, Polar Sci Ctr, Appl Phys Lab, Seattle, WA 98105 USA; Univ New Hampshire, Water Syst Anal Grp, Durham, NH 03824 USA; British Antarctic Survey, Cambridge CB3 0ET, England; Univ Washington, Ocean Phys Dept, Seattle, WA 98105 USA</t>
  </si>
  <si>
    <t>University of Colorado System; University of Colorado Boulder; University of Washington; University of Washington Seattle; University System Of New Hampshire; University of New Hampshire; UK Research &amp; Innovation (UKRI); Natural Environment Research Council (NERC); NERC British Antarctic Survey; University of Washington; University of Washington Seattle</t>
  </si>
  <si>
    <t>Serreze, MC (corresponding author), Univ Colorado, Cooperat Inst Res Environm Sci, 1540 30th St, Boulder, CO 80309 USA.</t>
  </si>
  <si>
    <t>serreze@kryos.colorado.edu</t>
  </si>
  <si>
    <t>Slater, Andrew G/B-4666-2008</t>
  </si>
  <si>
    <t>Lammers, Richard/0000-0002-7980-5834; Steele, Michael/0000-0001-5083-1775; SLATER, ANDREW/0000-0002-4009-4844; Meredith, Michael/0000-0002-7342-7756; Slater, Andrew/0000-0003-0480-8560</t>
  </si>
  <si>
    <t>NERC [bas010013] Funding Source: UKRI; Natural Environment Research Council [bas010013] Funding Source: researchfish; Directorate For Geosciences; Division Of Polar Programs [0852396] Funding Source: National Science Foundation; Office of Polar Programs (OPP); Directorate For Geosciences [1022472] Funding Source: National Science Foundation</t>
  </si>
  <si>
    <t>NERC(UK Research &amp; Innovation (UKRI)Natural Environment Research Council (NERC)); Natural Environment Research Council(UK Research &amp; Innovation (UKRI)Natural Environment Research Council (NERC)); Directorate For Geosciences; Division Of Polar Programs(National Science Foundation (NSF)NSF - Directorate for Geosciences (GEO)); Office of Polar Programs (OPP); Directorate For Geosciences(National Science Foundation (NSF)NSF - Directorate for Geosciences (GEO))</t>
  </si>
  <si>
    <t>C11010</t>
  </si>
  <si>
    <t>10.1029/2005JC003424</t>
  </si>
  <si>
    <t>110HP</t>
  </si>
  <si>
    <t>WOS:000242369400005</t>
  </si>
  <si>
    <t>Justino, F; Peltier, WR</t>
  </si>
  <si>
    <t>Justino, Flavio; Peltier, W. Richard</t>
  </si>
  <si>
    <t>Influence of present day and glacial surface conditions on the Antarctic Oscillation/Southern Annular Mode</t>
  </si>
  <si>
    <t>SOUTHERN-HEMISPHERE ATMOSPHERE; SEA-ICE; SYNCHRONOUS VARIABILITY; NORTH-ATLANTIC; CLIMATE; TELECONNECTION; CIRCULATION; PATTERNS; MAXIMUM; WINTER</t>
  </si>
  <si>
    <t>Based upon coupled climate simulations driven by present day and glacial boundary conditions, we demonstrate that the internal variability associated with the pronounced south polar climate anomalies that characterized the glacial climate regime was largely confined to the winter season. In particular, the intensity and spatial structure of the Antarctic Oscillation/Southern Annular Mode is found to display a strong seasonal cycle. In the summer season, we demonstrate that this mode of internal climate variability is extremely robust in response to a change from modern to glacial conditions in that it seems not to depend upon the latitudinal position of the baroclinic zone nor on the strength of the mean atmospheric zonal circulation. In winter, however, and under glacial conditions, this mode is characterized by a significantly modified atmospheric circulation that differs dramatically in terms of its internal variability from that characteristic of modern conditions.</t>
  </si>
  <si>
    <t>Univ Toronto, Dept Phys, Toronto, ON M5S 1A7, Canada</t>
  </si>
  <si>
    <t>University of Toronto</t>
  </si>
  <si>
    <t>Justino, F (corresponding author), Univ Fed Vicosa, Dept Agr Engn, PH Rolfs, BR-36570000 Vicosa, MG, Brazil.</t>
  </si>
  <si>
    <t>fjustino@atmosp.physics.utoronto.ca</t>
  </si>
  <si>
    <t>Peltier, William R./A-1102-2008; Flavio, Justino/AAT-2037-2020</t>
  </si>
  <si>
    <t>NOV 17</t>
  </si>
  <si>
    <t>L22702</t>
  </si>
  <si>
    <t>10.1029/2006GL027001</t>
  </si>
  <si>
    <t>107MI</t>
  </si>
  <si>
    <t>WOS:000242175300001</t>
  </si>
  <si>
    <t>Lenton, A; Matear, RJ; Tilbrook, B</t>
  </si>
  <si>
    <t>Lenton, Andrew; Matear, Richard J.; Tilbrook, Bronte</t>
  </si>
  <si>
    <t>Design of an observational strategy for quantifying the Southern Ocean uptake of CO2</t>
  </si>
  <si>
    <t>GLOBAL BIOGEOCHEMICAL CYCLES</t>
  </si>
  <si>
    <t>GAS-EXCHANGE; CARBON-CYCLE; SEA; FLUX; TEMPERATURE; PCO(2); FCO2</t>
  </si>
  <si>
    <t>[ 1] A sampling strategy to estimate the annual mean CO2 uptake by the Southern Ocean was developed by applying two-dimensional Fourier transforms and signal-to-noise ratios to the simulated air-sea CO2 fluxes and Delta pCO(2) from an ocean biogeochemical model driven with NCEP-R1. Observations of pCO(2) were used to validate the statistical properties of the model and to estimate the mesoscale variability not captured by the model resolution. Sampling regularly every 3 months, at every 30 degrees in longitude and 3 degrees in latitude is sufficient to determine the net Southern Ocean CO2 uptake. We applied this sampling strategy to the simulated air-sea fluxes to estimate a net annual mean CO2 uptake of 0.6 +/- 0.1 PgC/yr ( 1990 - 1999). This uncertainty in the estimate was dominated by the simulated interannual variability, and not by errors in the sampling or unresolved mesoscale variability. Therefore sampling at higher resolutions in space and time would not reduce the uncertainty in the Southern Ocean annual mean uptake any further. These results show that a doubling of the current Southern Ocean sampling ( in longitude) would be required to constrain the net annual mean air-sea CO2 fluxes to within the natural variability of the system.</t>
  </si>
  <si>
    <t>Univ Tasmania, Inst Antarctic &amp; So Ocean Studies, Hobart, Tas 7001, Australia; Univ Tasmania, ACE CRC, Hobart, Tas 7001, Australia; CSIRO Marine &amp; Atmospher Res, Hobart, Tas, Australia</t>
  </si>
  <si>
    <t>University of Tasmania; University of Tasmania; Antarctic Climate &amp; Ecosystems Cooperative Research Centre (ACE CRC); Commonwealth Scientific &amp; Industrial Research Organisation (CSIRO)</t>
  </si>
  <si>
    <t>Lenton, A (corresponding author), Univ Paris 06, IPSL, LOCEAN, 4 Pl Jussieu, F-75005 Paris, France.</t>
  </si>
  <si>
    <t>andrew.lenton@lodyc.jussieu.fr; richard.matear@csiro.au; bronte.tilbrook@csiro.au</t>
  </si>
  <si>
    <t>Tilbrook, Bronte/W-4007-2019; matear, richard/C-5133-2011; Lenton, Andrew/D-2077-2012</t>
  </si>
  <si>
    <t>Tilbrook, Bronte/0000-0001-9385-3827; matear, richard/0000-0002-3225-0800; Lenton, Andrew/0000-0001-9437-8896</t>
  </si>
  <si>
    <t>0886-6236</t>
  </si>
  <si>
    <t>1944-9224</t>
  </si>
  <si>
    <t>GLOBAL BIOGEOCHEM CY</t>
  </si>
  <si>
    <t>Glob. Biogeochem. Cycle</t>
  </si>
  <si>
    <t>GB4010</t>
  </si>
  <si>
    <t>10.1029/2005GB002620</t>
  </si>
  <si>
    <t>Environmental Sciences; Geosciences, Multidisciplinary; Meteorology &amp; Atmospheric Sciences</t>
  </si>
  <si>
    <t>Environmental Sciences &amp; Ecology; Geology; Meteorology &amp; Atmospheric Sciences</t>
  </si>
  <si>
    <t>107MM</t>
  </si>
  <si>
    <t>WOS:000242175700001</t>
  </si>
  <si>
    <t>Chevalier, TW; Inan, US; Bell, TF</t>
  </si>
  <si>
    <t>Chevalier, T. W.; Inan, U. S.; Bell, T. F.</t>
  </si>
  <si>
    <t>Characterization of terminal impedance and radiation properties of a horizontal VLF antenna over Antarctic ice</t>
  </si>
  <si>
    <t>RADIO SCIENCE</t>
  </si>
  <si>
    <t>IONOSPHERE WAVE-GUIDE; COMPLEX PERMITTIVITY; SIPLE-STATION; PROPAGATION; DIPOLE; MEDIA; SHEET; EARTH</t>
  </si>
  <si>
    <t>[ 1] Measurements of the input impedance of two very low frequency (VLF) transmitters in Antarctica are used to validate existing dielectric models for the ice substrate at these frequencies. Using a finite difference time domain approach, Maxwell's equations are solved in the presence of dispersive media, representing the layers of ice which form the Antarctic ice sheet as a single-pole Debye material. This model provides simulated input impedance values in good agreement with measured data for both the South Pole beacon and the former Siple Station VLF transmitters. Using the validated simulation tool, the radiation characteristics of the South Pole beacon VLF transmitter are characterized. Results for the radiation resistance, efficiency, and far-field pattern are provided for the current South Pole transmitter. The power pattern for a two-element array is also determined.</t>
  </si>
  <si>
    <t>Stanford Univ, Dept Elect Engn, Stanford, CA 94103 USA</t>
  </si>
  <si>
    <t>Chevalier, TW (corresponding author), Stanford Univ, Dept Elect Engn, 351 Packard EE Bldg, Stanford, CA 94103 USA.</t>
  </si>
  <si>
    <t>timothyc@stanford.edu</t>
  </si>
  <si>
    <t>Inan, Umran/V-3634-2019</t>
  </si>
  <si>
    <t>Inan, Umran/0000-0001-5837-5807</t>
  </si>
  <si>
    <t>0048-6604</t>
  </si>
  <si>
    <t>1944-799X</t>
  </si>
  <si>
    <t>RADIO SCI</t>
  </si>
  <si>
    <t>Radio Sci.</t>
  </si>
  <si>
    <t>RS6001</t>
  </si>
  <si>
    <t>10.1029/2005RS003298</t>
  </si>
  <si>
    <t>Astronomy &amp; Astrophysics; Geochemistry &amp; Geophysics; Meteorology &amp; Atmospheric Sciences; Remote Sensing; Telecommunications</t>
  </si>
  <si>
    <t>107OB</t>
  </si>
  <si>
    <t>WOS:000242179800001</t>
  </si>
  <si>
    <t>Moren, M; Suontama, J; Hemre, GI; Karlsen, O; Olsen, RE; Mundheim, H; Julshamn, K</t>
  </si>
  <si>
    <t>Moren, M.; Suontama, J.; Hemre, G. -I.; Karlsen, O.; Olsen, R. E.; Mundheim, H.; Julshamn, K.</t>
  </si>
  <si>
    <t>Element concentrations in meals from krill and amphipods, - Possible alternative protein sources in complete diets for farmed fish</t>
  </si>
  <si>
    <t>krill; amphipods; copper; zinc; arsenic; cadmium; mercury; lead; protein source</t>
  </si>
  <si>
    <t>ATLANTIC SALMON; ANTARCTIC KRILL; FLUORIDE; COD; L.; ABSORPTION; RETENTION; DIGESTION; BINDING; GROWTH</t>
  </si>
  <si>
    <t>In the marine environment, organisms from lower trophic levels seem as a good alternative to the traditional meal and oil sources. In the present study, meals were produced from Antarctic krill (Euphausia superba), Arctic krill (Thysanoessa inermis) and the Arctic amphipod Themisto libellula. Diets were then prepared for Atlantic salmon and Atlantic cod where up to 100% of the fish meal protein was replaced by protein from these organisms. Concentrations of copper (Cu), zinc (Zn), arsenic (As), cadmium (Cd), mercury (Hg) and lead (Pb) were determined by ICP-MS in the various krill and amphipod meals, complete diets and muscle samples from fish fed these diets. The element concentrations were related to growth and general fish health as well as present EU legislations on feed ingredients and complete diets. The cod showed no difference in growth during the trial, while salmon fed diets where 40% of the fish meal protein was replaced with Arctic krill or amphipod meal shoved improved SGR during the first period of feeding (first 100 days). No adverse effects on growth rate or fish health were observed in any fish species or treatment. Nevertheless, high levels of Cu were found in the meal from Antarctic krill (46 mg kg(-1) dry matter (dm)) resulting in a dietary level of Cu exceeding the upper limit for complete feedingstuff set by EU. Furthermore, the Cd level found in the meal from amphipod (12 mg kg(-1) dm) was 6 times higher than EU's upper limit. This indicates limitations for the use of certain zooplanktons as alternative protein sources in feed for farmed fish, unless future processing methods yield lower levels of these unwanted elements. (c) 2006 Elsevier B.V. All rights reserved.</t>
  </si>
  <si>
    <t>NIFES, N-5817 Bergen, Norway; Matre Aquaculture Res Stn, Marine Res Inst, N-5984 Matredal, Norway; Inst Marine Res, Austevoll Aquaculture Res Stn, N-5392 Storebo, Norway; Norwegian Inst Fisheries &amp; Aquaculture, N-5141 Fyllingsdalen, Norway</t>
  </si>
  <si>
    <t>Institute of Marine Research - Norway; Institute of Marine Research - Norway</t>
  </si>
  <si>
    <t>Moren, M (corresponding author), NIFES, POB 2029, N-5817 Bergen, Norway.</t>
  </si>
  <si>
    <t>mari.moren@nifes.no</t>
  </si>
  <si>
    <t>NOV 16</t>
  </si>
  <si>
    <t>10.1016/j.aquaculture.2006.06.022</t>
  </si>
  <si>
    <t>115MJ</t>
  </si>
  <si>
    <t>WOS:000242738100019</t>
  </si>
  <si>
    <t>Yoshitomi, B; Aoki, M; Oshima, S; Hata, K</t>
  </si>
  <si>
    <t>Yoshitomi, Bunji; Aoki, Masatoshi; Oshima, Syun-ichirou; Hata, Kazuhiko</t>
  </si>
  <si>
    <t>Evaluation of krill (Euphausia superba) meal as a partial replacement for fish meal in rainbow trout (Oncorhynchus mykiss) diets</t>
  </si>
  <si>
    <t>Antarctic krill; fish meal; krill meal; salmonid diets; rainbow trout; fluoride</t>
  </si>
  <si>
    <t>ANTARCTIC KRILL; FLUORIDE; STRESS</t>
  </si>
  <si>
    <t>We studied partial replacement of fish meal (FM) by krill meal (KM) and how fluoride from KM enriched-muscles and bones of rainbow trout reared in freshwater affected these fish. Diets that replaced FM with KM at proportions of 0, 7, 15 and 30% (control, KM7, KM15, and KM30) were fed to groups of rainbow trout for 92 days and growth was observed. In fish fed KM7 and KM 15, weight gain (WG), feed intake (FI) and specific growth rate (SGR) were unchanged compared with fish fed the control diet, but in fish fed KM30, WG, FI and SGR significantly decreased. After the experiment, fluoride concentration in dorsal muscles of each experimental group was below the detected limit (1 mg/kg), but in vertebral bones, the fluoride concentration increased with each increase in KM inclusion in the diets: 490 mg/kg (control), 755 mg/kg (KM7), 1100 mg/kg (KM15), and 2400 mg/kg (KM30). Tissue specimens of liver of each experimental group had no histopathological changes. Therefore, accumulation of fluoride in vertebral bones apparently adversely affected growth of the vertebral bones thus affecting the growth performance as shown by the decrease in WG, FI and SGR. (c) 2006 Elsevier B.V. All rights reserved.</t>
  </si>
  <si>
    <t>Nippon Suisan Kaisha Ltd, Cent Res Lab, Hachioji, Tokyo 1920906, Japan; Kochi Univ, Lab Fish Dis, Grad Sch Kuroshio Sci, Div Marine Bioresource Sci, Nankoku, Kochi 7838502, Japan</t>
  </si>
  <si>
    <t>Nippon Suisan Kaisha, Ltd.; Kochi University</t>
  </si>
  <si>
    <t>Yoshitomi, B (corresponding author), Nippon Suisan Kaisha Ltd, Cent Res Lab, Hachioji, Tokyo 1920906, Japan.</t>
  </si>
  <si>
    <t>bunjiy@nissui.co.jp</t>
  </si>
  <si>
    <t>10.1016/j.aquaculture.2006.06.036</t>
  </si>
  <si>
    <t>WOS:000242738100042</t>
  </si>
  <si>
    <t>Ho, CH; Kim, JH; Jeong, JH; Kim, HS; Chen, DL</t>
  </si>
  <si>
    <t>Ho, Chang-Hoi; Kim, Joo-Hong; Jeong, Jee-Hoon; Kim, Hyeong-Seog; Chen, Deliang</t>
  </si>
  <si>
    <t>Variation of tropical cyclone activity in the South Indian Ocean: El Nino-Southern Oscillation and Madden-Julian Oscillation effects</t>
  </si>
  <si>
    <t>ANTARCTIC OSCILLATION; NORTH PACIFIC; ANNULAR MODES; MODULATION</t>
  </si>
  <si>
    <t>[1] The present study examines variation of tropical cyclone (TC) activity in the South Indian Ocean (SIO) during TC seasons ( December - March) for the period 1979 - 2004. The impact of the El Nino - Southern Oscillation and the Madden-Julian Oscillation (MJO) on the variation is revealed through a composite analysis. During El Nino periods TC genesis was shifted westward, enhancing the formation west of 75 degrees E and reducing it east of 75 degrees E. These changes in the genesis correspond to a westward shift of convection. It may be explained by a remote effect on the SIO; that is, the increase in sea surface temperature in the central eastern Pacific alters the Walker circulation and forms an anomalous anticyclonic circulation in the east SIO during El Nino. The spatial difference in TC passages between El Nino and La Nina shows a significant decrease to the southeast of Madagascar but a moderate increase in the central midlatitude SIO, indicating that TCs move farther east during El Nino. This change is possibly due to the anomalous southwesterlies east of Madagascar. Variation of TC activity also depends on various MJO phases: frequent TC passages for phases 2 - 4 ( strong convective activity straddles along the equatorial Indian Ocean) versus infrequent TC passages for other phases. TC tracks tend to be more south oriented in phase 3 compared with those in phases 2 and 4. This is possibly caused by the increased steering northerlies which are a part of the anticyclonic Rossby wave of Gill type in response to the suppressed MJO-related convection in the maritime continent.</t>
  </si>
  <si>
    <t>Seoul Natl Univ, Sch Earth &amp; Environm Sci, Seoul 151742, South Korea; Univ Gothenburg, Ctr Earth Sci, SE-40530 Gothenburg, Sweden; China Meteorol Adm, Natl Climate Ctr, Lab Climate Studies, Beijing, Peoples R China</t>
  </si>
  <si>
    <t>Seoul National University (SNU); University of Gothenburg; China Meteorological Administration</t>
  </si>
  <si>
    <t>Ho, CH (corresponding author), Seoul Natl Univ, Sch Earth &amp; Environm Sci, Seoul 151742, South Korea.</t>
  </si>
  <si>
    <t>hoch@cpl.snu.ac.kr</t>
  </si>
  <si>
    <t>Chen, Deliang/A-5107-2013; Kim, Joo-Hong/J-8929-2012; Ho, Chang-Hoi/H-8354-2015; Jeong, Jee-Hoon/A-4286-2010; Kim, Hyeong-Seog/F-4496-2010</t>
  </si>
  <si>
    <t>Chen, Deliang/0000-0003-0288-5618; Kim, Joo-Hong/0000-0003-3087-9864; Jeong, Jee-Hoon/0000-0002-3358-3949; Kim, Hyeong-Seog/0000-0003-2577-3301</t>
  </si>
  <si>
    <t>D22101</t>
  </si>
  <si>
    <t>10.1029/2006JD007289</t>
  </si>
  <si>
    <t>107MQ</t>
  </si>
  <si>
    <t>WOS:000242176100006</t>
  </si>
  <si>
    <t>Innis, JL; Klekociuk, AR</t>
  </si>
  <si>
    <t>Innis, J. L.; Klekociuk, A. R.</t>
  </si>
  <si>
    <t>Planetary wave and gravity wave influence on the occurrence of polar stratospheric clouds over Davis Station, Antarctica, seen in lidar and radiosonde observations</t>
  </si>
  <si>
    <t>OZONE DEPLETION; DUMONT-DURVILLE; VAPOR-PRESSURE; MOUNTAIN WAVES; TEMPERATURE; SCANDINAVIA; ATMOSPHERE; WINTER; MODEL; ICE</t>
  </si>
  <si>
    <t>[ 1] We present Rayleigh lidar observations of polar stratospheric clouds (PSC) from Davis Station (68.6S, 78.0E), Antarctica, from the 2001, 2002, 2003, and 2004 austral winter seasons. The PSC are detected as enhanced backscatter returns at lower stratospheric heights. We use operational radiosonde balloon data to compare the PSC detections with stratospheric temperature and wave properties. As documented by others, we find that the occurrence of PSC is closely tied to average stratospheric temperatures ( which, in turn, are closely related to the location of Davis with respect to the Antarctic vortex), with PSC being seen when the temperature falls to near or below the calculated formation temperature of nitric acid trihydrate. There is clear evidence in the sonde data for gravity wave and planetary wave modulation of the stratospheric temperature. We see small-scale wavelike structure in the PSC profiles, which likely arises from gravity waves, but find little direct correlation between a given ( vertical) lidar PSC profile and near-contemporaneous sonde profile, probably because the sonde flight is not an instantaneous sounding at the exact spatial location of the lidar. The planetary-wave-induced temperature variations are of the order of 10 times the size of the gravity wave variations and have a greater and more direct influence in PSC occurrence over Davis.</t>
  </si>
  <si>
    <t>Australian Antarctic Div, Kingston, Tas 7050, Australia</t>
  </si>
  <si>
    <t>Innis, JL (corresponding author), Australian Antarctic Div, Channel Highway, Kingston, Tas 7050, Australia.</t>
  </si>
  <si>
    <t>john.innis@aad.gov.au; klekociuk@aad.gov.au</t>
  </si>
  <si>
    <t>Klekociuk, Andrew/A-4498-2015</t>
  </si>
  <si>
    <t>Klekociuk, Andrew/0000-0003-3335-0034</t>
  </si>
  <si>
    <t>D22102</t>
  </si>
  <si>
    <t>10.1029/2006JD007629</t>
  </si>
  <si>
    <t>WOS:000242176100007</t>
  </si>
  <si>
    <t>Abel, GA; Freeman, MP; Smith, AJ; Reeves, GD</t>
  </si>
  <si>
    <t>Abel, G. A.; Freeman, M. P.; Smith, A. J.; Reeves, G. D.</t>
  </si>
  <si>
    <t>Association of substorm chorus events with drift echoes</t>
  </si>
  <si>
    <t>VLF; MAGNETOSPHERE; SIGNATURES; ORBIT; WAVE</t>
  </si>
  <si>
    <t>Over recent years, substorm chorus events (SCEs) have been proposed as a useful indicator of substorm onset. The events are regularly seen in the data from the VELOX (VLF/ELF Logger Experiment) instrument at Halley, Antarctica, which has provided over a decade of near continuous observations. SCEs are generally thought to be excited by the injection of electrons near midnight as they gradient-curvature drift toward dawn. On close one-to-one inspection of SCEs seen at Halley and energetic electron signatures seen with the LANL geostationary spacecraft, we have found that many events are associated with the drift echo of the injected electrons rather than the initial injection. In this paper we present some example events as well as the relative statistics. We find that approximately 1/4 of SCEs where a clear signature can be seen in the LANL data are associated with drift echoes rather than the initial substorm injection. We argue that rather than being a direct signature of substorm onset, SCEs are a signature of enhanced electron fluxes in the chorus generation region, which are often, but not exclusively, associated with substorm injections.</t>
  </si>
  <si>
    <t>British Antarctic Survey, NERC, Cambridge CB3 0ET, England; Los Alamos Natl Lab, Los Alamos, NM USA</t>
  </si>
  <si>
    <t>UK Research &amp; Innovation (UKRI); Natural Environment Research Council (NERC); NERC British Antarctic Survey; United States Department of Energy (DOE); Los Alamos National Laboratory</t>
  </si>
  <si>
    <t>gaab@bas.ac.uk; mpf@bas.ac.uk; ajsm@bas.ac.uk; reeves@lanl.gov</t>
  </si>
  <si>
    <t>Reeves, Geoffrey/E-8101-2011; Abel, Gary/ABE-1765-2021; Freeman, Mervyn/E-5687-2019</t>
  </si>
  <si>
    <t>Reeves, Geoffrey/0000-0002-7985-8098; Abel, Gary/0000-0003-2231-5161; Freeman, Mervyn/0000-0002-8653-8279</t>
  </si>
  <si>
    <t>A11</t>
  </si>
  <si>
    <t>A11220</t>
  </si>
  <si>
    <t>10.1029/2006JA011860</t>
  </si>
  <si>
    <t>107NV</t>
  </si>
  <si>
    <t>WOS:000242179200009</t>
  </si>
  <si>
    <t>Xie, JJ; Chen, QX; Zhang, JP; Wang, Q; Yang, XM</t>
  </si>
  <si>
    <t>Xie, Jin-Jin; Chen, Qing-Xi; Zhang, Ji-Ping; Wang, Qin; Yang, Xue-Min</t>
  </si>
  <si>
    <t>Inhibitory kinetics of mercuric ion on the activity of β-N-acetyl-D-glucosaminidase from green crab (Scylla serrata)</t>
  </si>
  <si>
    <t>INTERNATIONAL JOURNAL OF BIOLOGICAL MACROMOLECULES</t>
  </si>
  <si>
    <t>green crab; beta-N-acetyl-D-glucosaminidase; inhibition; kinetics; mercuric ion</t>
  </si>
  <si>
    <t>ALKALINE-PHOSPHATASE; MOLECULAR-CLONING; PENAEUS-JAPONICUS; ANTARCTIC KRILL; ZINC IONS; PURIFICATION; CHITINASE; ENZYME; PRAWN; HEPATOPANCREAS</t>
  </si>
  <si>
    <t>Chemical modification of p-chloromercuribenzoate (PCMB) on beta-N-acetyl-D-glucosaminidase (NAGase, EC 3.2.1.52) from green crab (Scylla serrata) has been studied. The results show that sulfhydryl group is essential for the activity of the enzyme. Inhibitory kinetics of the enzyme by mercuric chloride (HgCl2) has been studied using the kinetic method of the substrate reaction during inhibitor of enzyme. The kinetic results show that the inhibition of the enzyme by mercuric ion (Hg2+) at lower than 1.0 mu M is a reversible reaction with residual activity and the inhibition belongs to be competitive. The inhibition kinetics model of Hg2+ on the enzyme was set up and the microscopic rate constants were determined and the data obtained were well fitted with the model. It was also turned out that only one molecule of HgCl2 binds to the enzyme molecule to lead the enzyme lose its activity. The above results suggest that the cysteine residue is essential for activity and is situated at the active site of the enzyme. (c) 2005 Elsevier B.V. All rights reserved.</t>
  </si>
  <si>
    <t>Xiamen Univ, Key Lab Minist Educ Cell Biol &amp; Tumor Cell Engn, Dept Biochem &amp; Biotechnol, Sch Life Sci, Xiamen 361005, Peoples R China; Quanzhou Normal Univ, Dept Biol, Quanzhou 362000, Peoples R China</t>
  </si>
  <si>
    <t>Xiamen University; Quanzhou Normal University</t>
  </si>
  <si>
    <t>Chen, QX (corresponding author), Xiamen Univ, Key Lab Minist Educ Cell Biol &amp; Tumor Cell Engn, Dept Biochem &amp; Biotechnol, Sch Life Sci, Xiamen 361005, Peoples R China.</t>
  </si>
  <si>
    <t>Chen, QX/G-4600-2010; Wang, Q/G-4594-2010</t>
  </si>
  <si>
    <t>Wang, Q/0000-0003-4815-3260</t>
  </si>
  <si>
    <t>0141-8130</t>
  </si>
  <si>
    <t>INT J BIOL MACROMOL</t>
  </si>
  <si>
    <t>Int. J. Biol. Macromol.</t>
  </si>
  <si>
    <t>NOV 15</t>
  </si>
  <si>
    <t>4-5</t>
  </si>
  <si>
    <t>10.1016/j.ijbiomac.2005.10.006</t>
  </si>
  <si>
    <t>Biochemistry &amp; Molecular Biology; Chemistry, Applied; Polymer Science</t>
  </si>
  <si>
    <t>Biochemistry &amp; Molecular Biology; Chemistry; Polymer Science</t>
  </si>
  <si>
    <t>112KS</t>
  </si>
  <si>
    <t>WOS:000242525200001</t>
  </si>
  <si>
    <t>Allan, R; Ansell, T</t>
  </si>
  <si>
    <t>Allan, Rob; Ansell, Tara</t>
  </si>
  <si>
    <t>A new globally complete monthly historical gridded mean sea level pressure dataset (HadSLP2): 1850-2004</t>
  </si>
  <si>
    <t>JOURNAL OF CLIMATE</t>
  </si>
  <si>
    <t>SHIPS METEOROLOGICAL REPORTS; OBSERVATIONAL ERRORS PRESENT; NORTH-ATLANTIC; SOUTHERN-OSCILLATION; SURFACE PRESSURE; EXTRATROPICAL CIRCULATION; STATISTICAL DETERMINATION; GEOPOTENTIAL HEIGHT; AIR-TEMPERATURE; STATION DATA</t>
  </si>
  <si>
    <t>An upgraded version of the Hadley Centre's monthly historical mean sea level pressure (MSLP) dataset ( HadSLP2) is presented. HadSLP2 covers the period from 1850 to date, and is based on numerous terrestrial and marine data compilations. Each terrestrial pressure series used in HadSLP2 underwent a series of quality control tests, and erroneous or suspect values were either corrected, where possible, or removed. Marine observations from the International Comprehensive Ocean Atmosphere Data Set were quality controlled (assessed against climatology and near neighbors) and then gridded. The final gridded form of HadSLP2 was created by blending together the processed terrestrial and gridded marine MSLP data. MSLP fields were made spatially complete using reduced-space optimal interpolation. Gridpoint error estimates were also produced. HadSLP2 was found to have generally stronger subtropical anticyclones and higher-latitude features across the Northern Hemisphere than an earlier product (HadSLP1). During the austral winter, however, it appears that the pressures in the southern Atlantic and Indian Ocean midlatitude regions are too high; this is seen in comparisons with both HadSLP1 and the 40-yr ECMWF Re-Analysis (ERA-40). Over regions of high altitude, HadSLP2 and ERA-40 showed consistent differences suggestive of potential biases in the reanalysis model, though the region over the Himalayas in HadSLP2 is biased compared with HadSLP1 and improvements are required in this region. Consistent differences were also observed in regions of sparse data, particularly over the higher latitudes of the Southern Ocean and in the southeastern Pacific. Unlike the earlier HadSLP1 product, error estimates are available with HadSLP2 to guide the user in these regions of low confidence. An evaluation of major phenomena in the climate system using HadSLP2 provided further validation of the dataset. Important climatic features/indices such as the North Atlantic Oscillation, Arctic Oscillation, North Pacific index, Southern Oscillation index, Trans-Polar index, Antarctic Oscillation, Antarctic Circumpolar Wave, East Asian Summer Monsoon index, and the Siberian High index have all been resolved in HadSLP2, with extensions back to the mid-nineteenth century.</t>
  </si>
  <si>
    <t>Meteorol Off, Hadley Ctr, Exeter EX1 3PB, Devon, England</t>
  </si>
  <si>
    <t>Met Office - UK; Hadley Centre</t>
  </si>
  <si>
    <t>Allan, R (corresponding author), Meteorol Off, Hadley Ctr, Fitzroy Rd, Exeter EX1 3PB, Devon, England.</t>
  </si>
  <si>
    <t>rob.allan@metoffice.gov.uk</t>
  </si>
  <si>
    <t>0894-8755</t>
  </si>
  <si>
    <t>1520-0442</t>
  </si>
  <si>
    <t>J CLIMATE</t>
  </si>
  <si>
    <t>J. Clim.</t>
  </si>
  <si>
    <t>10.1175/JCLI3937.1</t>
  </si>
  <si>
    <t>113SX</t>
  </si>
  <si>
    <t>WOS:000242618800006</t>
  </si>
  <si>
    <t>Denny, M; Miller, L</t>
  </si>
  <si>
    <t>Denny, Mark; Miller, Luke</t>
  </si>
  <si>
    <t>Jet propulsion in the cold:: mechanics of swimming in the Antarctic scallop Adamussium colbecki</t>
  </si>
  <si>
    <t>abductin; Adamussium colbecki; Antarctic; jet propulsion; scallop; swimming</t>
  </si>
  <si>
    <t>PLACOPECTEN-MAGELLANICUS; HINGE-LIGAMENT; PECTINIDAE; MUSCLE; PERFORMANCE; BIVALVIA</t>
  </si>
  <si>
    <t>Unlike most bivalves, scallops are able to swim, relying on a shell with reduced mass and streamlined proportions, a large fast-twitch adductor muscle and the elastic characteristics of the shell's hinge. Despite these adaptations, swimming in scallops is never far from failure, and it is surprising to find a swimming scallop in Antarctica, where low temperature increases the viscosity of seawater, decreases the power output of the adductor muscle and potentially compromises the energy storage capability of the hinge material (abductin, a protein rubber). How does the Antarctic scallop, Adamussium colbecki, cope with the cold? Its shell mass is substantially reduced relative to that of temperate and tropical scallops, but this potential advantage is more than offset by a drastic reduction in adductor-muscle mass. By contrast, A. colbecki's abductin maintains a higher resilience at low temperatures than does the abductin of a temperate scallop. This resilience may help to compensate for reduced muscle mass, assisting the Antarctic scallop to maintain its marginal swimming ability. However, theory suggests that this assistance should be slight, so the adaptive value of increased resilience remains open to question. The high resilience of A. colbecki abductin at low temperatures may be of interest to materials engineers.</t>
  </si>
  <si>
    <t>Stanford Univ, Hopkins Marine Stn, Pacific Grove, CA 93950 USA</t>
  </si>
  <si>
    <t>Denny, M (corresponding author), Stanford Univ, Hopkins Marine Stn, Pacific Grove, CA 93950 USA.</t>
  </si>
  <si>
    <t>mwdenny@stanford.edu</t>
  </si>
  <si>
    <t>Miller, Luke/B-8992-2009</t>
  </si>
  <si>
    <t>Miller, Luke/0000-0002-2009-6981; Denny, Mark/0000-0003-0277-9022</t>
  </si>
  <si>
    <t>10.1242/jeb.02538</t>
  </si>
  <si>
    <t>106WN</t>
  </si>
  <si>
    <t>WOS:000242132800015</t>
  </si>
  <si>
    <t>Meijer, YJ; Swart, DPJ; Baier, F; Bhartia, PK; Bodeker, GE; Casadio, S; Chance, K; Del Frate, F; Erbertseder, T; Felder, MD; Flynn, LE; Godin-Beekmann, S; Hansen, G; Hasekamp, OP; Kaifel, A; Kelder, HM; Kerridge, BJ; Lambert, JC; Landgraf, J; Latter, B; Liu, X; McDermid, IS; Pachepsky, Y; Rozanov, V; Siddans, R; Tellmann, S; van der A, RJ; van Oss, RF; Weber, M; Zehner, C</t>
  </si>
  <si>
    <t>Meijer, Y. J.; Swart, D. P. J.; Baier, F.; Bhartia, P. K.; Bodeker, G. E.; Casadio, S.; Chance, K.; Del Frate, F.; Erbertseder, T.; Felder, M. D.; Flynn, L. E.; Godin-Beekmann, S.; Hansen, G.; Hasekamp, O. P.; Kaifel, A.; Kelder, H. M.; Kerridge, B. J.; Lambert, J. -C.; Landgraf, J.; Latter, B.; Liu, X.; McDermid, I. S.; Pachepsky, Y.; Rozanov, V.; Siddans, R.; Tellmann, S.; van der A, R. J.; van Oss, R. F.; Weber, M.; Zehner, C.</t>
  </si>
  <si>
    <t>Evaluation of Global Ozone Monitoring Experiment (GOME) ozone profiles from nine different algorithms</t>
  </si>
  <si>
    <t>RADIATIVE-TRANSFER MODEL; ROTATIONAL RAMAN-SCATTERING; ABSORPTION CROSS-SECTIONS; BACKSCATTERED ULTRAVIOLET RADIANCES; PERTURBATION-THEORY APPROACH; STRATOSPHERIC CHANGE; ERROR ANALYSIS; NEW-ZEALAND; WAVELENGTH CALIBRATION; LIDAR MEASUREMENTS</t>
  </si>
  <si>
    <t>[1] An evaluation is made of ozone profiles retrieved from measurements of the nadir-viewing Global Ozone Monitoring Experiment (GOME) instrument. Currently, four different approaches are used to retrieve ozone profile information from GOME measurements, which differ in the use of external information and a priori constraints. In total nine different algorithms will be evaluated exploiting the optimal estimation ( Royal Netherlands Meteorological Institute, Rutherford Appleton Laboratory, University of Bremen, National Oceanic and Atmospheric Administration, Smithsonian Astrophysical Observatory), Phillips-Tikhonov regularization ( Space Research Organization Netherlands), neural network ( Center for Solar Energy and Hydrogen Research, Tor Vergata University), and data assimilation ( German Aerospace Center) approaches. Analysis tools are used to interpret data sets that provide averaging kernels. In the interpretation of these data, the focus is on the vertical resolution, the indicative altitude of the retrieved value, and the fraction of a priori information. The evaluation is completed with a comparison of the results to lidar data from the Network for Detection of Stratospheric Change stations in Andoya ( Norway), Observatoire Haute Provence ( France), Mauna Loa ( Hawaii), Lauder ( New Zealand), and Dumont d'Urville ( Antarctic) for the years 1997 - 1999. In total, the comparison involves nearly 1000 ozone profiles and allows the analysis of GOME data measured in different global regions and hence observational circumstances. The main conclusion of this paper is that unambiguous information on the ozone profile can at best be retrieved in the altitude range 15 - 48 km with a vertical resolution of 10 to 15 km, precision of 5 - 10%, and a bias up to 5% or 20% depending on the success of recalibration of the input spectra. The sensitivity of retrievals to ozone at lower altitudes varies from scheme to scheme and includes significant influence from a priori assumptions.</t>
  </si>
  <si>
    <t>Natl Inst Publ Hlth &amp; Environm, Environm Risks &amp; Safety Div, Environm Measurements Lab, NL-3720 BA Bilthoven, Netherlands; Eindhoven Univ Technol, Fac Appl Phys, NL-5600 MB Eindhoven, Netherlands; German Aerosp Ctr, German Remote Sensing Data Ctr, DFD, D-82234 Wessling, Germany; NASA, Goddard Space Flight Ctr, Greenbelt, MD 20904 USA; Natl Inst Water &amp; Atmospher Res, Central Otago 9182, Lauder, New Zealand; SERCO Spa, Frascati, Italy; Harvard Smithsonian Ctr Astrophys, Cambridge, MA 02138 USA; Univ Roma Tor Vergata, Dipartimento Informat Sistemi &amp; Prod, I-00133 Rome, Italy; Natl Environm Satellite Data &amp; Informat Serv, NOAA, Camp Springs, MD 20746 USA; Univ Paris 06, CNRS, Serv Aeron, F-75252 Paris 05, France; Norwegian Inst Air Res, Polar Environm Ctr, N-9296 Tromso, Norway; SRON, NL-3584 CA Utrecht, Netherlands; Ctr Solar Energy &amp; Hydrogen Res, D-70565 Stuttgart, Germany; Royal Netherlands Meteorol Inst, NL-3730 AE De Bilt, Netherlands; Rutherford Appleton Lab, Didcot OX11 0QX, Oxon, England; Inst Aeron Spatiale Belgique, B-1180 Brussels, Belgium; Jet Prop Lab, Table Mt Facil, Wrightwood, CA 92397 USA; STG Inc, Reston, VA 20190 USA; Univ Bremen, Inst Environm Phys, D-28334 Bremen, Germany; European Space Agcy, ESRIN, I-00044 Frascati, Italy</t>
  </si>
  <si>
    <t>Netherlands National Institute for Public Health &amp; the Environment; Eindhoven University of Technology; Helmholtz Association; German Aerospace Centre (DLR); National Aeronautics &amp; Space Administration (NASA); NASA Goddard Space Flight Center; National Institute of Water &amp; Atmospheric Research (NIWA) - New Zealand; Harvard University; Smithsonian Institution; Smithsonian Astrophysical Observatory; University of Rome Tor Vergata; National Oceanic Atmospheric Admin (NOAA) - USA; Sorbonne Universite; Centre National de la Recherche Scientifique (CNRS); NILU; Royal Netherlands Meteorological Institute; UK Research &amp; Innovation (UKRI); Science &amp; Technology Facilities Council (STFC); STFC Rutherford Appleton Laboratory; National Aeronautics &amp; Space Administration (NASA); NASA Jet Propulsion Laboratory (JPL); University of Bremen; European Space Agency</t>
  </si>
  <si>
    <t>Meijer, YJ (corresponding author), Natl Inst Publ Hlth &amp; Environm, Environm Risks &amp; Safety Div, Environm Measurements Lab, POB 1, NL-3720 BA Bilthoven, Netherlands.</t>
  </si>
  <si>
    <t>yasjka.meijer@rivm.nl; daan.swart@rivm.nl; frank.baier@dlr.de; bhartia@carioca.gsfc.nasa.gov; g.bodeker@niwa.co.nz; stefano.casadio@esa.int; kchance@cfa.harvard.edu; delfrate@disp.uniroma2.it; thilo.erbertseder@dlr.de; felder@lrz.de; lawrence.e.flynn@noaa.gov; sophie.godin@aero.jussieu.fr; ghh@nilu.no; o.p.hasekamp@sron.nl; anton.kaifel@zsw-bw.de; kelder@knmi.nl; b.j.kerridge@rl.ac.uk; lambert@bira-iasb.oma.be; j.landgraf@sron.nl; b.g.latter@rl.ac.uk; xliu@cfa.harvard.edu; mcdermid@tmf.jpl.nasa.gov; yakov.pachepsky@noaa.gov; rozanov@iup.physik.uni-bremen.de; r.siddans@rl.ac.uk; tellmann@iup.physik.uni-bremen.de; avander@knmi.nl; ossvanr@knmi.nl; weber@iup.physik.uni-bremen.de; claus.zehner@esa.int</t>
  </si>
  <si>
    <t>Lambert, Jean-Christopher/IUN-1096-2023; Hasekamp, Otto/AAO-7661-2020; Liu, Xiong/P-7186-2014; Erbertseder, Thilo/HFZ-9947-2022; Bodeker, Greg E/A-8870-2008; Del Frate, Fabio/G-1413-2013; Pachepsky, Yakov/H-7236-2019; Flynn, Lawrence/B-6321-2009; Weber, Mark/F-1409-2011; Bhartia, Pawan/A-4209-2016</t>
  </si>
  <si>
    <t>Lambert, Jean-Christopher/0000-0001-7243-6848; Liu, Xiong/0000-0003-2939-574X; Erbertseder, Thilo/0000-0003-4888-1065; Pachepsky, Yakov/0000-0003-0232-6090; Flynn, Lawrence/0000-0001-6856-2614; Weber, Mark/0000-0001-8217-5450; Bodeker, Gregory/0000-0003-1094-5852; Latter, Barry/0000-0001-5101-9316; Bhartia, Pawan/0000-0001-8307-9137; Casadio, Stefano/0000-0001-9917-426X; Chance, Kelly/0000-0002-7339-7577</t>
  </si>
  <si>
    <t>D21</t>
  </si>
  <si>
    <t>D21306</t>
  </si>
  <si>
    <t>10.1029/2005JD006778</t>
  </si>
  <si>
    <t>107MO</t>
  </si>
  <si>
    <t>WOS:000242175900001</t>
  </si>
  <si>
    <t>Bender, ML; Floch, G; Chappellaz, J; Suwa, M; Barnola, JM; Blunier, T; Dreyfus, G; Jouzel, J; Parrenin, F</t>
  </si>
  <si>
    <t>Bender, M. L.; Floch, G.; Chappellaz, J.; Suwa, M.; Barnola, J. -M.; Blunier, T.; Dreyfus, G.; Jouzel, J.; Parrenin, F.</t>
  </si>
  <si>
    <t>Gas age-ice age differences and the chronology of the Vostok ice core, 0-100 ka</t>
  </si>
  <si>
    <t>ATMOSPHERIC METHANE; ANTARCTIC TEMPERATURE; POLAR ICE; FIRN; AIR; GREENLAND; DENSIFICATION; DELTA-N-15; SITES; O-2</t>
  </si>
  <si>
    <t>[ 1] Gas is trapped in polar ice at depths of similar to 50 - 120 m and is therefore significantly younger than the ice in which it is embedded. The age difference is not well constrained for slowly accumulating ice on the East Antarctic Plateau, introducing a significant uncertainty into chronologies of the oldest deep ice cores (Vostok, Dome Fuji, and Dome C). We recorrelate the gas records of Vostok and Greenland Ice Sheet Project 2 (GISP2) cores in part on the basis of new CH4 data and use these records to construct six Vostok chronologies that use different assumptions to calculate gas age - ice age differences. We then evaluate these chronologies by comparing times of climate events at Vostok with correlative events in the well-dated Byrd ice core ( West Antarctica). From this evaluation we identify two leading chronologies for the Vostok core that are based on recent models of firn temperature, firn densification, and thinning of upstream ice. One chronology involves calculating gas age - ice age differences from these models. The second, new, approach involves calculating ice depths in the core that are contemporaneous with depths in the same ice core whose gas ages are well constrained. This latter approach circumvents problems associated with highly uncertain accumulation rates in the Vostok core. The uncertainty in Vostok chronologies derived by correlating into the GISP2 gas record remains about +/- 1 kyr, and high-precision correlations continue to be difficult.</t>
  </si>
  <si>
    <t>Princeton Univ, Dept Geosci, Princeton, NJ 08540 USA; Univ Bern, Inst Phys, CH-3012 Bern, Switzerland; CNRS, Lab Glaciol &amp; Geophys Environm, F-38402 St Martin Dheres, France; Univ Versailles, CNRS, CEA,CE Saclay, Inst Pierre Simon Laplace,Lab Sci Climat &amp; Enviro, F-91191 Gif Sur Yvette, France</t>
  </si>
  <si>
    <t>Princeton University; University of Bern; Centre National de la Recherche Scientifique (CNRS); CEA; Centre National de la Recherche Scientifique (CNRS); Universite Paris Saclay; Universite Paris Cite</t>
  </si>
  <si>
    <t>Bender, ML (corresponding author), Princeton Univ, Dept Geosci, Princeton, NJ 08540 USA.</t>
  </si>
  <si>
    <t>bender@princeton.edu</t>
  </si>
  <si>
    <t>Parrenin, Frédéric/0000-0002-9489-3991; Blunier, Thomas/0000-0002-6065-7747</t>
  </si>
  <si>
    <t>NOV 14</t>
  </si>
  <si>
    <t>D21115</t>
  </si>
  <si>
    <t>10.1029/2005JD006488</t>
  </si>
  <si>
    <t>107MN</t>
  </si>
  <si>
    <t>WOS:000242175800001</t>
  </si>
  <si>
    <t>Hemer, MA; Hunter, JR; Coleman, R</t>
  </si>
  <si>
    <t>Hemer, M. A.; Hunter, J. R.; Coleman, R.</t>
  </si>
  <si>
    <t>Barotropic tides beneath the Amery Ice Shelf</t>
  </si>
  <si>
    <t>OCEAN CIRCULATION; CONTINENTAL-SHELF; EAST ANTARCTICA; ROSS SEA; TRANSPORT; CURRENTS; REGION; MODELS; BAY</t>
  </si>
  <si>
    <t>[ 1] A barotropic tidal model has been applied to the Amery Ice Shelf cavity and Prydz Bay region of East Antarctica. The sensitivity of the tidal solution of the model to variation of the water column thickness of the Amery Ice Shelf cavity has been determined. A best estimate water column thickness grid is presented which both fits available water column thickness data ( bed elevation and ice thickness) and results in reasonable agreement with available tidal elevation data. This is an important result for the Amery Ice Shelf given the severe lack of sub-ice shelf bed elevation and limited direct ice thickness measurements. Using the resulting topography, simulated tidal current speeds in the sub - Amery Ice Shelf cavity are significantly less than those beneath other major embayed Antarctic ice shelves, with maximum tidal current speeds of 26 cm s(-1) indicated for this cavity. Similarly, the estimated energy dissipation beneath the Amery Ice Shelf due to surface friction of 6 MW is low in comparison with the other ice shelves. Tidally induced vertical mixing is found to be too weak to destroy the stratification associated with the relatively warm water in the lower part of the cavity and ice shelf meltwater in the upper part of the cavity. However, it is proposed that buoyancy-driven upwelling, rather than vertical mixing, is sufficient to bring the lower water mass into contact with the ice shelf. The depth-averaged model suggests that barotropic tidal processes have little influence on the oceanographic properties of the Amery Ice Shelf cavity.</t>
  </si>
  <si>
    <t>Univ Tasmania, Inst Antarctic &amp; So Ocean Studies, Hobart, Tas 7001, Australia; Univ Tasmania, Antarctic Climate &amp; Ecosyst Cooperat Res Ctr, Hobart, Tas, Australia; Univ Tasmania, Sch Geog &amp; Environm Studies, Hobart, Tas 7001, Australia</t>
  </si>
  <si>
    <t>University of Tasmania; Antarctic Climate &amp; Ecosystems Cooperative Research Centre (ACE CRC); University of Tasmania; University of Tasmania</t>
  </si>
  <si>
    <t>Hemer, MA (corresponding author), CSIRO Marine &amp; Atmospher Res, GPO Box 1538, Hobart, Tas 7001, Australia.</t>
  </si>
  <si>
    <t>mark.hemer@csiro.au</t>
  </si>
  <si>
    <t>Coleman, Richard/H-4425-2012; Hemer, Mark/M-1905-2013</t>
  </si>
  <si>
    <t>Coleman, Richard/0000-0002-9731-7498; Hemer, Mark/0000-0002-7725-3474</t>
  </si>
  <si>
    <t>C11008</t>
  </si>
  <si>
    <t>10.1029/2006JC003622</t>
  </si>
  <si>
    <t>107NC</t>
  </si>
  <si>
    <t>WOS:000242177300002</t>
  </si>
  <si>
    <t>Thamban, M; Chaturvedi, A; Rajakumar, A; Naik, SS; D'Souza, W; Singh, A; Rajan, S; Ravindra, R</t>
  </si>
  <si>
    <t>Thamban, M.; Chaturvedi, A.; Rajakumar, A.; Naik, S. S.; D'Souza, W.; Singh, A.; Rajan, S.; Ravindra, R.</t>
  </si>
  <si>
    <t>Aerosol perturbations related to volcanic eruptions during the past few centuries as recorded in an ice core from the Central Dronning Maud Land, Antarctica</t>
  </si>
  <si>
    <t>Antarctica; glacio-chemistry; ice core; volcanic aerosol</t>
  </si>
  <si>
    <t>EXPLOSIVE VOLCANISM; EVENTS; ACCUMULATION; AMUNDSENISEN; VARIABILITY; STATION</t>
  </si>
  <si>
    <t>High-resolution glacio-chemical analyses were carried out in a 62.2 in long ice core recovered from the Central Dronning Maud Land, East Antarctica, to evaluate temporal changes in environmental characteristics (SO42-) during the past five centuries. The sulphate 4 content within the core varied between 15 and 377 ppb, whereas the sodium (Na+) and chloride (Cl-) content fluctuated widely from 7 to 500 ppb and 25 to 1461 ppb respectively. The computed non-sea-salt sulphate (nssSO(4)(2-)) record reveals the existence of several outstanding peaks that can be attributed to the sulphate aerosol deposition during large volcanic events as recorded in Antarctica and elsewhere. Major volcanic events identified at the core site include: Mt Pinatubo (1991), Agung (1963), Krakatau/Tarawera (1883/1886), Tambora (1815) and Huaynaputina.(1600) among several other moderate events. Comparison of our nssSO(4)(2-) record with that of ice core records from Greenland reveals analogous sulphate deposition during certain major volcanic events, demonstrating the interhemispheric transport of aerosols during large volcanic eruptions. Relatively high Cl-/Na' ratio throughout the core (mean 3.1) compared to that of the sea water ratio implies additional sources of Cl-, most likely due to the intense scavenging of gaseous Cl- in the lower atmosphere.</t>
  </si>
  <si>
    <t>Natl Ctr Antarctic &amp; Ocean Res, Vasco Da Gama 403804, Gao, India; Geol Survey India, Antarctic Div, Faridabad 121001, India</t>
  </si>
  <si>
    <t>Ministry of Earth Sciences (MoES) - India; National Centre for Polar and Ocean Research (NCPOR); Geological Survey India</t>
  </si>
  <si>
    <t>Thamban, M (corresponding author), Natl Ctr Antarctic &amp; Ocean Res, Vasco Da Gama 403804, Gao, India.</t>
  </si>
  <si>
    <t>meloth@ncaor.org</t>
  </si>
  <si>
    <t>Bernal-Guerrero, Antonio/N-7555-2014; Naik, Sushant/B-3512-2011</t>
  </si>
  <si>
    <t>Bernal-Guerrero, Antonio/0000-0002-0387-9538; Thamban, Meloth/0000-0003-3379-8189</t>
  </si>
  <si>
    <t>NOV 10</t>
  </si>
  <si>
    <t>108VO</t>
  </si>
  <si>
    <t>WOS:000242267500023</t>
  </si>
  <si>
    <t>Weise, MJ; Costa, DP; Kudela, RM</t>
  </si>
  <si>
    <t>Weise, Michael J.; Costa, Daniel P.; Kudela, Raphael M.</t>
  </si>
  <si>
    <t>Movement and diving behavior of male California sea lion (Zalophus californianus) during anomalous oceanographic conditions of 2005 compared to those of 2004</t>
  </si>
  <si>
    <t>ANTARCTIC FUR SEALS; EL-NINO; POPULATION-DYNAMICS; ELEPHANT SEALS; GRAY SEALS; TEMPERATURE; LOCATION; IMPACT; SCALE</t>
  </si>
  <si>
    <t>During the highly anomalous conditions in early 2005, characterized by increased water temperatures and decreased productivity, male California sea lions adopted previously undocumented foraging behaviors. We investigated the movement and spatially explicit foraging behavior of males using satellite-linked data loggers and compared foraging behavior and effort between 2003 2004 and 2004-2005. Males foraged almost exclusively over the continental shelf during short trips in 2003-2004, while during anomalous conditions in 2004-2005 they altered their foraging effort by spending more time at sea and venturing up to 450 km offshore. Foraging trips in 2004-2005 were more than twice the distance and three times the duration of trips during 2003-2004. Our data indicated that the effects of climatic shifts during 2005 extended beyond the physical oceanography and lower trophic levels, to an apex predator; providing insight into the plasticity of foraging behavior and movement patterns of sea lions as they respond to environmental perturbations.</t>
  </si>
  <si>
    <t>Univ Calif Santa Cruz, Dept Ecol &amp; Evolutionary Biol, Ctr Ocean Hlth, Santa Cruz, CA 95060 USA; Univ Calif Santa Cruz, Ocean Sci Dept, Santa Cruz, CA 95064 USA</t>
  </si>
  <si>
    <t>University of California System; University of California Santa Cruz; University of California System; University of California Santa Cruz</t>
  </si>
  <si>
    <t>Weise, MJ (corresponding author), Univ Calif Santa Cruz, Dept Ecol &amp; Evolutionary Biol, Ctr Ocean Hlth, 100 Shaffer Rd, Santa Cruz, CA 95060 USA.</t>
  </si>
  <si>
    <t>weise@biology.ucsc.edu</t>
  </si>
  <si>
    <t>Carlos, Universidade Federal de São/0000-0002-0334-3899; Costa, Daniel Paul/0000-0002-0233-5782</t>
  </si>
  <si>
    <t>L22S10</t>
  </si>
  <si>
    <t>10.1029/2006GL027113</t>
  </si>
  <si>
    <t>104UA</t>
  </si>
  <si>
    <t>WOS:000241983700001</t>
  </si>
  <si>
    <t>Siani, L; Papa, R; Di Donato, A; Sannia, G</t>
  </si>
  <si>
    <t>Siani, Loredana; Papa, Rosanna; Di Donato, Alberto; Sannia, Giovanni</t>
  </si>
  <si>
    <t>Recombinant expression of Toluene o-Xylene monooxygenase (ToMO) from Pseudomonas stutzeri OX1 in the marine Antarctic bacterium Pseudoalteromonas haloplanktis TAC125</t>
  </si>
  <si>
    <t>monooxygenases; antarctic psychrophilic bacterium; Pseudoalteromonas haloplanktis TAC125; Pseudomonas stutzeri OX1</t>
  </si>
  <si>
    <t>MOLECULAR CHARACTERIZATION; ENZYMES; CLONING; GENES</t>
  </si>
  <si>
    <t>The psychrophilic bacterium Pseudoalteromonas haloplanktis TAC125, isolated from Antarctic seawater, was used as recipient for a biodegradative gene of the mesophilic Pseudomonas stutzeri OX1.tou cluster, coding for Toluene o-Xylene Monooxygenase (ToMO), was successfully cloned and expressed into a cold expression vector. Apparent catalytic parameters of the recombinant microorganisms on three different substrates were determined and compared with those exhibited by Escherichia coli recombinant cells expressing ToMO. Production of a catalytically efficient TAC/tou microorganism supports the possibility of developing specific degradative capabilities for the bioremediation of chemically contaminated marine environments and of industrial effluents characterised by low temperatures. (c) 2006 Elsevier B.V. All rights reserved.</t>
  </si>
  <si>
    <t>Complesso Univ Monte S Angelo, Dipartimento Chim Organ &amp; Biochim, I-80126 Naples, Italy; Complesso Univ Monte S Angelo, Dipartimento Biol Strutturale &amp; Funz, I-80126 Naples, Italy; CEINGE Biotecnol Avanzate Scarl, Naples, Italy</t>
  </si>
  <si>
    <t>CEINGE Biotecnologie Avanzate</t>
  </si>
  <si>
    <t>Sannia, G (corresponding author), Complesso Univ Monte S Angelo, Dipartimento Chim Organ &amp; Biochim, Via Cinthia, I-80126 Naples, Italy.</t>
  </si>
  <si>
    <t>sannia@unina.it</t>
  </si>
  <si>
    <t>Di Donato, Alberto/G-5494-2012</t>
  </si>
  <si>
    <t>DI DONATO, Alberto/0000-0001-9129-9850; SANNIA, Giovanni/0000-0002-7986-6223</t>
  </si>
  <si>
    <t>1873-4863</t>
  </si>
  <si>
    <t>10.1016/j.jbiotec.2006.04.027</t>
  </si>
  <si>
    <t>108PS</t>
  </si>
  <si>
    <t>WOS:000242252300009</t>
  </si>
  <si>
    <t>Barbante, C; Barnola, JM; Becagli, S; Beer, J; Bigler, M; Boutron, C; Blunier, T; Castellano, E; Cattani, O; Chappellaz, J; Dahl-Jensen, D; Debret, M; Delmonte, B; Dick, D; Falourd, S; Faria, S; Federer, U; Fischer, H; Freitag, J; Frenzel, A; Fritzsche, D; Fundel, F; Gabrielli, P; Gaspari, V; Gersonde, R; Graf, W; Grigoriev, D; Hamann, I; Hansson, M; Hoffmann, G; Hutterli, MA; Huybrechts, P; Isaksson, E; Johnsen, S; Jouzel, J; Kaczmarska, M; Karlin, T; Kaufmann, P; Kipfstuhl, S; Kohno, M; Lambert, F; Lambrecht, A; Lambrecht, A; Landais, A; Lawer, G; Leuenberger, M; Littot, G; Loulergue, L; Lüthi, D; Maggi, V; Marino, F; Masson-Delmotte, V; Meyer, H; Miller, H; Mulvaney, R; Narcisi, B; Oerlemans, J; Oerter, H; Parrenin, F; Petit, JR; Raisbeck, G; Raynaud, D; Röthlisberger, R; Ruth, U; Rybak, O; Severi, M; Schmitt, J; Schwander, J; Siegenthaler, U; Siggaard-Andersen, ML; Spahni, R; Steffensen, JP; Stenni, B; Stocker, TF; Tison, JL; Traversi, R; Udisti, R; Valero-Delgado, F; van den Broeke, MR; van de Wal, RSW; Wagenbach, D; Wegner, A; Weiler, K; Wilhelms, F; Winther, JG; Wolff, E</t>
  </si>
  <si>
    <t>Barbante, C.; Barnola, J. -M.; Becagli, S.; Beer, J.; Bigler, M.; Boutron, C.; Blunier, T.; Castellano, E.; Cattani, O.; Chappellaz, J.; Dahl-Jensen, D.; Debret, M.; Delmonte, B.; Dick, D.; Falourd, S.; Faria, S.; Federer, U.; Fischer, H.; Freitag, J.; Frenzel, A.; Fritzsche, D.; Fundel, F.; Gabrielli, P.; Gaspari, V.; Gersonde, R.; Graf, W.; Grigoriev, D.; Hamann, I.; Hansson, M.; Hoffmann, G.; Hutterli, M. A.; Huybrechts, P.; Isaksson, E.; Johnsen, S.; Jouzel, J.; Kaczmarska, M.; Karlin, T.; Kaufmann, P.; Kipfstuhl, S.; Kohno, M.; Lambert, F.; Lambrecht, Anja; Lambrecht, Astrid; Landais, A.; Lawer, G.; Leuenberger, M.; Littot, G.; Loulergue, L.; Luethi, D.; Maggi, V.; Marino, F.; Masson-Delmotte, V.; Meyer, H.; Miller, H.; Mulvaney, R.; Narcisi, B.; Oerlemans, J.; Oerter, H.; Parrenin, F.; Petit, J. -R.; Raisbeck, G.; Raynaud, D.; Roethlisberger, R.; Ruth, U.; Rybak, O.; Severi, M.; Schmitt, J.; Schwander, J.; Siegenthaler, U.; Siggaard-Andersen, M. -L.; Spahni, R.; Steffensen, J. P.; Stenni, B.; Stocker, T. F.; Tison, J. -L.; Traversi, R.; Udisti, R.; Valero-Delgado, F.; van den Broeke, M. R.; van de Wal, R. S. W.; Wagenbach, D.; Wegner, A.; Weiler, K.; Wilhelms, F.; Winther, J. -G.; Wolff, E.</t>
  </si>
  <si>
    <t>EPICA Community Members</t>
  </si>
  <si>
    <t>One-to-one coupling of glacial climate variability in Greenland and Antarctica</t>
  </si>
  <si>
    <t>EAST ANTARCTICA; NORTH-ATLANTIC; CIRCULATION; SURFACE; ORIGIN</t>
  </si>
  <si>
    <t>Precise knowledge of the phase relationship between climate changes in the two hemispheres is a key for understanding the Earth's climate dynamics. For the last glacial period, ice core studies(1,2) have revealed strong coupling of the largest millennial-scale warm events in Antarctica with the longest Dansgaard - Oeschger events in Greenland(3-5) through the Atlantic meridional overturning circulation(6-8). It has been unclear, however, whether the shorter Dansgaard - Oeschger events have counterparts in the shorter and less prominent Antarctic temperature variations, and whether these events are linked by the same mechanism. Here we present a glacial climate record derived from an ice core from Dronning Maud Land, Antarctica, which represents South Atlantic climate at a resolution comparable with the Greenland ice core records. After methane synchronization with an ice core from North Greenland(9), the oxygen isotope record from the Dronning Maud Land ice core shows a one-to-one coupling between all Antarctic warm events and Greenland Dansgaard - Oeschger events by the bipolar seesaw(6). The amplitude of the Antarctic warm events is found to be linearly dependent on the duration of the concurrent stadial in the North, suggesting that they all result from a similar reduction in the meridional overturning circulation.</t>
  </si>
  <si>
    <t>Univ Ca Foscari, Dept Environm Sci, Venice, Italy; CNR, Inst Dynam Environm Proc, I-30123 Venice, Italy; CNRS UJF, Lab Glaciol &amp; Geophys Environm, F-38402 St Martin Dheres, France; Univ Florence, Dept Chem, I-50019 Florence, Italy; EAWAG, CH-8600 Dubendorf, Switzerland; Univ Bern, Inst Phys, CH-3012 Bern, Switzerland; Univ Copenhagen, Niels Bohr Inst, DK-2100 Copenhagen OE, Denmark; CE Saclay, Lab Sci Climat &amp; Environm LSCE IPSL, CEA CNRS UVSQ, F-91191 Gif Sur Yvette, France; Univ Milano Bicocca, Dept Environm Sci, I-20126 Milan, Italy; Alfred Wegener Inst Polar &amp; Marine Res, D-27568 Bremerhaven, Germany; Alfred Wegener Inst Polar &amp; Marine Res, Res Unit Potsdam, D-14473 Potsdam, Germany; GSF, Natl Ctr Environm &amp; Hlth, D-85764 Neuherberg, Germany; UCL, London WC1E 6BT, England; Stockholm Univ, Dept Phys Geog &amp; Quaternary Geol, S-10691 Stockholm, Sweden; British Antarctic Survey, Cambridge CB3 0ET, England; Free Univ Brussels, Dept Geog, B-1050 Brussels, Belgium; Norwegian Polar Res Inst, N-9296 Tromso, Norway; ENEA, I-00060 Rome, Italy; Univ Utrecht, Inst Marine &amp; Atmospher Res, NL-3508 TA Utrecht, Netherlands; CSNSM IN2P3 CNRS, F-91405 Orsay, France; Univ Trieste, Dept Geol Environm &amp; Marine Sci, I-34127 Trieste, Italy; Free Univ Brussels, Dept Sci Terre, B-1050 Brussels, Belgium; Heidelberg Univ, Inst Environm Phys, D-69120 Heidelberg, Germany; Max Planck Inst Math Sci, D-04103 Leipzig, Germany</t>
  </si>
  <si>
    <t>Universita Ca Foscari Venezia; Consiglio Nazionale delle Ricerche (CNR); Istituto per la Dinamica dei Processi Ambientali (IDPA-CNR); Communaute Universite Grenoble Alpes; Universite Grenoble Alpes (UGA); Centre National de la Recherche Scientifique (CNRS); University of Florence; Swiss Federal Institutes of Technology Domain; Swiss Federal Institute of Aquatic Science &amp; Technology (EAWAG); University of Bern; University of Copenhagen; Niels Bohr Institute; CEA; Centre National de la Recherche Scientifique (CNRS); Universite Paris Saclay; University of Milano-Bicocca; Helmholtz Association; Alfred Wegener Institute, Helmholtz Centre for Polar &amp; Marine Research; Helmholtz Association; Alfred Wegener Institute, Helmholtz Centre for Polar &amp; Marine Research; Helmholtz Association; Helmholtz-Center Munich - German Research Center for Environmental Health; University of London; University College London; Stockholm University; UK Research &amp; Innovation (UKRI); Natural Environment Research Council (NERC); NERC British Antarctic Survey; Universite Libre de Bruxelles; Norwegian Polar Institute; Italian National Agency New Technical Energy &amp; Sustainable Economics Development; Utrecht University; Centre National de la Recherche Scientifique (CNRS); CNRS - National Institute of Nuclear and Particle Physics (IN2P3); Universite Paris Saclay; University of Trieste; Universite Libre de Bruxelles; Ruprecht Karls University Heidelberg; Max Planck Society</t>
  </si>
  <si>
    <t>Fischer, H (corresponding author), Univ Ca Foscari, Dept Environm Sci, Venice, Italy.</t>
  </si>
  <si>
    <t>hufischer@awi-bremerhaven.de</t>
  </si>
  <si>
    <t>Leuenberger, Markus C/K-9655-2016; Fundel, Felix/C-5469-2009; Maggi, Valter/AAX-5728-2020; Van den Broeke, Michiel R./F-7867-2011; Rybak, Oleg/B-7308-2014; Bigler, Matthias/HTT-3872-2023; Barbante, Carlo/B-3195-2011; Karlin, Torbjörn A/H-7839-2012; Rybak, Oleg/AAQ-8467-2020; Oerlemans, Johannes/G-3802-2011; raynaud, dominique/ABG-4718-2020; Lambert, Fabrice/M-2003-2014; Schmitt, Jochen/B-7893-2009; Udisti, Roberto/M-7966-2015; van de wal, roderik/D-1705-2011; Meyer, Hanno/AAQ-4260-2021; Parrenin, Frédéric/H-3054-2014; Becagli, Silvia/GNW-2665-2022; Wilhelms, Frank/KEI-8426-2024; Bishnoi, Mamta/AAQ-8346-2021; Steffensen, Jorgen Peder/JFS-7831-2023; Maggi, Valter/E-1878-2014; Delmonte, Barbara/L-2555-2015; Wolff, Eric W/D-7925-2014; Stocker, Thomas F/B-1273-2013; Chappellaz, Jérôme A./A-4872-2011; Raynaud, Dominique/H-9626-2016; Dahl-Jensen, Dorthe/AAO-6951-2020; Masson-Delmotte, Valerie L/G-1995-2011; Blunier, Thomas/M-4609-2014; Traversi, Rita/M-7586-2015; Fischer, Hubertus/A-1211-2014; Weikusat, Ilka/E-8826-2015; Severi, Mirko/J-2508-2012; Tison, Jean-Louis/F-4065-2015; Mulvaney, Robert/K-3929-2012; Faria, Sergio Henrique/K-9454-2013; Debret, Maxime/L-4236-2017; Huybrechts, Philippe/J-5278-2013</t>
  </si>
  <si>
    <t>Leuenberger, Markus C/0000-0003-4299-6793; Maggi, Valter/0000-0001-6287-1213; Van den Broeke, Michiel R./0000-0003-4662-7565; Rybak, Oleg/0000-0003-3923-7163; Bigler, Matthias/0000-0003-0184-4013; Rybak, Oleg/0000-0002-7234-0544; Lambert, Fabrice/0000-0002-2192-024X; Schmitt, Jochen/0000-0003-4695-3029; Udisti, Roberto/0000-0003-4440-8238; van de wal, roderik/0000-0003-2543-3892; Meyer, Hanno/0000-0003-4129-4706; Parrenin, Frédéric/0000-0002-9489-3991; Wilhelms, Frank/0000-0001-7688-3135; Bishnoi, Mamta/0000-0003-4987-0536; Steffensen, Jorgen Peder/0000-0002-5516-1093; Delmonte, Barbara/0000-0002-9074-2061; Wolff, Eric W/0000-0002-5914-8531; Dahl-Jensen, Dorthe/0000-0002-1474-1948; Masson-Delmotte, Valerie L/0000-0001-8296-381X; Blunier, Thomas/0000-0002-6065-7747; LANDAIS, Amaelle/0000-0002-5620-5465; Fritzsche, Diedrich/0000-0002-0018-8993; Traversi, Rita/0000-0002-9790-2195; Fischer, Hubertus/0000-0002-2787-4221; Miller, Heinrich/0000-0003-1015-2828; Stenni, Barbara/0000-0003-4950-3664; Becagli, Silvia/0000-0003-3633-4849; Weikusat, Ilka/0000-0002-3023-6036; Severi, Mirko/0000-0003-1511-6762; Tison, Jean-Louis/0000-0002-9758-3454; Mulvaney, Robert/0000-0002-5372-8148; Faria, Sergio Henrique/0000-0002-8825-7518; Debret, Maxime/0000-0002-8852-0152; Huybrechts, Philippe/0000-0003-1406-0525; Barbante, Carlo/0000-0003-4177-2288</t>
  </si>
  <si>
    <t>NOV 9</t>
  </si>
  <si>
    <t>10.1038/nature05301</t>
  </si>
  <si>
    <t>103DZ</t>
  </si>
  <si>
    <t>WOS:000241867200038</t>
  </si>
  <si>
    <t>Klingelhoefer, F; Ondréas, H; Briais, A; Hamelin, C; Dosso, L</t>
  </si>
  <si>
    <t>Klingelhoefer, F.; Ondreas, H.; Briais, A.; Hamelin, C.; Dosso, L.</t>
  </si>
  <si>
    <t>New structural and geochemical observations from the Pacific-Antarctic Ridge between 52°45′S and 41°15′S</t>
  </si>
  <si>
    <t>FRACTURE-ZONE; SOUTH-PACIFIC; PLATE MOTIONS; EVOLUTION; RISE</t>
  </si>
  <si>
    <t>We investigated the morphology and structure of the Pacific-Antarctic Ridge between 52 degrees 45'S and 41 degrees 15'S during the Pacantarctic2 cruise using multibeam echosounder together with gravity measurements and dredges. Analysis of the bathymetric, gravity and geochemical data reveal three ridge segments separated by overlapping spreading centers south of the Menard transform fault (MTF) and five segments north of it. Calculation of the cross-sectional area allows quantification of the variation in size of the axial bathymetric high. Together with the calculation of the mantle Bouguer anomaly, these data provide information about variations in the temperature of the underlying mantle or in crustal thickness. Areas with hotter mantle are found north and south of the MTF. Geochemical analyses of samples dredged during the survey show a correlation of high cross-sectional area values and negative mantle Bouguer anomalies in the middle of segments with relatively less depleted basalts.</t>
  </si>
  <si>
    <t>IFREMER, Dept Marine Geosci, F-29280 Plouzane, France; Observ Midi Pyrenees, CNRS, UMR 5562, F-31400 Toulouse, France; Univ Bretagne Occidentale, Inst Univ Europeen Mer, F-29280 Plouzane, France; CNRS, UMR 6538, F-29280 Plouzane, France</t>
  </si>
  <si>
    <t>Ifremer; Universite Paris Cite; Centre National de la Recherche Scientifique (CNRS); Universite de Toulouse; Universite Toulouse III - Paul Sabatier; Universite de Bretagne Occidentale; Institut Universitaire Europeen de la Mer (IUEM); Centre National de la Recherche Scientifique (CNRS); CNRS - National Institute for Earth Sciences &amp; Astronomy (INSU); Universite de Bretagne Occidentale</t>
  </si>
  <si>
    <t>Klingelhoefer, F (corresponding author), IFREMER, Dept Marine Geosci, BP70, F-29280 Plouzane, France.</t>
  </si>
  <si>
    <t>fklingel@ifremer.fr</t>
  </si>
  <si>
    <t>Briais, Anne/I-1492-2017; Dosso, Laure/A-9520-2009; Hamelin, Cédric/C-6656-2009</t>
  </si>
  <si>
    <t>Briais, Anne/0000-0002-0040-6348; Klingelhoefer, Frauke/0000-0001-5838-0577</t>
  </si>
  <si>
    <t>NOV 8</t>
  </si>
  <si>
    <t>L21312</t>
  </si>
  <si>
    <t>10.1029/2006GL027335</t>
  </si>
  <si>
    <t>104TS</t>
  </si>
  <si>
    <t>WOS:000241982900003</t>
  </si>
  <si>
    <t>Hodson, A</t>
  </si>
  <si>
    <t>Hodson, Andy</t>
  </si>
  <si>
    <t>Biogeochemistry of snowmelt in an Antarctic glacial ecosystem</t>
  </si>
  <si>
    <t>WATER RESOURCES RESEARCH</t>
  </si>
  <si>
    <t>SOUTH-ORKNEY ISLANDS; SIGNY ISLAND; NORTHERN MICHIGAN; MELTING SNOW; CHEMISTRY; RUNOFF; LAKES; MELTWATER; BUDGETS; STREAMS</t>
  </si>
  <si>
    <t>Solute mass balance, hydrochemical data, and hydrological process data are used to present the first detailed account of catchment biogeochemistry in an Antarctic melt season. The study was undertaken in a small glacial catchment in the maritime Antarctic (Signy Island, South Orkney Islands), where extreme ecosystem changes have been observed at the ice margin. Here melting caused a snowpack solute elution phase characterized by the production of extremely concentrated solutions just centimeters from the snow surface. These were equivalent to 2% marine water and dominated by sea-salt aerosol. Nutrients were also present but were rapidly sequestered in snowpack and ice marginal environments. Thus the decoupling of nutrient dynamics from other snowpack solutes seems to occur almost immediately after melt and testifies to the presence of a glacial ecosystem. Although significant, the estimated rates of nutrient uptake were low (0.025 gNH(4)-N/m(2)/yr and 0.0011 gPO(4)-P/m(2)/yr, equivalent to 66 and 74% of total annual atmospheric inputs) and, in the case of NH4+, 2-3 orders of magnitude lower than those reported for temperate snowpacks. However, the data also demonstrated significant NO3- production (0.030 gNO(3)-N/m(2)/yr or 3 times total atmospheric inputs) that appears to be associated with zones of high rock-water contact at the ice margin. After the early snowpack elution phase, nutrient cycling was also greatly influenced by inputs from penguin and seal excreta. Thus local marine ecosystems enhance the nutrient content of meltwaters and fertilize the glacial, terrestrial, and aquatic ecosystems that are responding to climate change in the maritime Antarctic.</t>
  </si>
  <si>
    <t>Univ Sheffield, Dept Geog, Sheffield S10 2TN, S Yorkshire, England</t>
  </si>
  <si>
    <t>University of Sheffield</t>
  </si>
  <si>
    <t>Hodson, A (corresponding author), Univ Sheffield, Dept Geog, Sheffield S10 2TN, S Yorkshire, England.</t>
  </si>
  <si>
    <t>a.j.hodson@sheffield.ac.uk</t>
  </si>
  <si>
    <t>0043-1397</t>
  </si>
  <si>
    <t>WATER RESOUR RES</t>
  </si>
  <si>
    <t>Water Resour. Res.</t>
  </si>
  <si>
    <t>W11406</t>
  </si>
  <si>
    <t>10.1029/2005WR004311</t>
  </si>
  <si>
    <t>Environmental Sciences; Limnology; Water Resources</t>
  </si>
  <si>
    <t>104VD</t>
  </si>
  <si>
    <t>WOS:000241987000001</t>
  </si>
  <si>
    <t>Erbertseder, T; Eyring, V; Bittner, M; Dameris, M; Grewe, V</t>
  </si>
  <si>
    <t>Erbertseder, T.; Eyring, V.; Bittner, M.; Dameris, M.; Grewe, V.</t>
  </si>
  <si>
    <t>Hemispheric ozone variability indices derived from satellite observations and comparison to a coupled chemistry-climate model</t>
  </si>
  <si>
    <t>LOWER STRATOSPHERIC TEMPERATURE; ATMOSPHERIC CHEMISTRY; IMPACT; EMISSIONS; WAVES</t>
  </si>
  <si>
    <t>Total column ozone is used to trace the dynamics of the lower and middle stratosphere which is governed by planetary waves. In order to analyse the planetary wave activity a Harmonic Analysis is applied to global multi- year total ozone observations from the Total Ozone Monitoring Spectrometer ( TOMS). As diagnostic variables we introduce the hemispheric ozone variability indices one and two. They are defined as the hemispheric means of the amplitudes of the zonal waves number one and two, respectively, as traced by the total ozone field. The application of these indices as a simple diagnostic for the evaluation of coupled chemistry- climate models ( CCMs) is demonstrated by comparing results of the CCM ECHAM4. L39( DLR)/ CHEM ( hereafter: E39/ C) against satellite observations. It is quantified to what extent a multiyear model simulation of E39/ C ( representing  2000 climate conditions) is able to reproduce the zonal and hemispheric planetary wave activity derived from TOMS data ( 1996 - 2004, Version 8). Compared to the reference observations the hemispheric ozone variability indices one and two of E39/ C are too high in the Northern Hemisphere and too low in the Southern Hemisphere. In the Northern Hemisphere, where the agreement is generally better, E39/ C produces too strong a planetary wave one activity in winter and spring and too high an interannual variability. For the Southern Hemisphere we reveal that the indices from observations and model differ significantly during the ozone hole season. The indices are used to give reasons for the late formation of the Antarctic ozone hole, the insufficient vortex elongation and eventually the delayed final warming in E39/ C. In general, the hemispheric ozone variability indices can be regarded as a simple and robust diagnostic to quantify model- observation differences concerning planetary wave activity. It allows a first- guess on how the dynamics is represented in a model simulation before applying costly and more specific diagnostics.</t>
  </si>
  <si>
    <t>DLR, German Aerosp Ctr, DFD, German Remote Sensing Data Ctr, Wessling, Germany; DLR, German Aerosp Ctr, Inst Atmospher Phys, Wessling, Germany</t>
  </si>
  <si>
    <t>Helmholtz Association; German Aerospace Centre (DLR); Helmholtz Association; German Aerospace Centre (DLR)</t>
  </si>
  <si>
    <t>Erbertseder, T (corresponding author), DLR, German Aerosp Ctr, DFD, German Remote Sensing Data Ctr, Wessling, Germany.</t>
  </si>
  <si>
    <t>thilo.erbertseder@dlr.de</t>
  </si>
  <si>
    <t>Erbertseder, Thilo/HFZ-9947-2022; Grewe, Volker/A-6147-2011; Grewe, Volker/JCE-0830-2023; Eyring, Veronika/O-9999-2016</t>
  </si>
  <si>
    <t>Erbertseder, Thilo/0000-0003-4888-1065; Grewe, Volker/0000-0002-8012-6783; Eyring, Veronika/0000-0002-6887-4885; Dameris, Martin/0000-0001-6700-0628</t>
  </si>
  <si>
    <t>NOV 7</t>
  </si>
  <si>
    <t>10.5194/acp-6-5105-2006</t>
  </si>
  <si>
    <t>103RB</t>
  </si>
  <si>
    <t>WOS:000241903300002</t>
  </si>
  <si>
    <t>Stolarski, RS; Douglass, AR; Gupta, M; Newman, PA; Pawson, S; Schoeberl, MR; Nielsen, JE</t>
  </si>
  <si>
    <t>Stolarski, R. S.; Douglass, A. R.; Gupta, M.; Newman, P. A.; Pawson, S.; Schoeberl, M. R.; Nielsen, J. E.</t>
  </si>
  <si>
    <t>An ozone increase in the Antarctic summer stratosphere: A dynamical response to the ozone hole</t>
  </si>
  <si>
    <t>CHEMISTRY-CLIMATE MODEL; TRANSPORT; TRENDS</t>
  </si>
  <si>
    <t>Profiles of ozone concentration retrieved from the SBUV series of satellites show an increase between 1979 and 1997 in the summertime Antarctic middle stratosphere ( similar to 25 - 10 hPa). Data over the South Pole from ozone sondes confirm the increase. A similar ozone increase is produced in a chemistry climate model that allows feedback between constituent changes and the stratospheric circulation through radiative heating. A simulation that excludes the radiative coupling between predicted ozone and the circulation does not capture this ozone increase. We show that the ozone increase in our model simulations is caused by a dynamical feedback in response to the changes in the stratospheric wind fields forced by the radiative perturbation associated with the Antarctic ozone hole.</t>
  </si>
  <si>
    <t>NASA, Goddard Space Flight Ctr, Atmospher Chem &amp; Dynam Branch, Greenbelt, MD 20771 USA; FAA, Off Environm &amp; Energy, Washington, DC USA; NASA, Goddard Space Flight Ctr, Global Modeling &amp; Assimilat Off, Greenbelt, MD 20771 USA; NASA, Goddard Space Flight Ctr, Earth Sci Directorate, Greenbelt, MD 20771 USA; Sci Syst &amp; Applicat Inc, Lanham, MD 20706 USA</t>
  </si>
  <si>
    <t>National Aeronautics &amp; Space Administration (NASA); NASA Goddard Space Flight Center; National Aeronautics &amp; Space Administration (NASA); NASA Goddard Space Flight Center; National Aeronautics &amp; Space Administration (NASA); NASA Goddard Space Flight Center; Science Systems and Applications Inc</t>
  </si>
  <si>
    <t>Stolarski, RS (corresponding author), NASA, Goddard Space Flight Ctr, Atmospher Chem &amp; Dynam Branch, Code 613-3, Greenbelt, MD 20771 USA.</t>
  </si>
  <si>
    <t>richard.s.stolarski@nasa.gov</t>
  </si>
  <si>
    <t>Douglass, Anne R/D-4655-2012; Stolarski, Richard S/B-8499-2013; Pawson, Steven/I-1865-2014; Newman, Paul A./D-6208-2012</t>
  </si>
  <si>
    <t>Newman, Paul A./0000-0003-1139-2508</t>
  </si>
  <si>
    <t>L21805</t>
  </si>
  <si>
    <t>10.1029/2006GL026820</t>
  </si>
  <si>
    <t>104TR</t>
  </si>
  <si>
    <t>WOS:000241982800001</t>
  </si>
  <si>
    <t>Pedro, J; van Ommen, T; Curran, M; Morgan, V; Smith, A; McMorrow, A</t>
  </si>
  <si>
    <t>Pedro, Joel; van Ommen, Tas; Curran, Mark; Morgan, Vin; Smith, Andrew; McMorrow, Alison</t>
  </si>
  <si>
    <t>Evidence for climate modulation of the 10Be solar activity proxy</t>
  </si>
  <si>
    <t>COSMOGENIC NUCLIDE PRODUCTION; ICE-CORE; LAW DOME; BERYLLIUM 10; COSMIC-RAYS; POLAR ICE; ANTARCTICA; FIRN; RECONSTRUCTION; RADIONUCLIDES</t>
  </si>
  <si>
    <t>We used a snow pit record in conjunction with detailed snow accumulation data and oxygen isotope records to examine atmospheric transport and deposition effects on Be-10 at Law Dome, Antarctica. Data from an adjacent automatic weather station was used to date the record at snowfall event-scale resolution. In contrast to prior ice core studies in Antarctica, the snow pit record is of a sufficiently short duration (similar to 1 year) that Be-10 fluctuations reflect mainly atmospheric transport processes rather than solar modulation of production. Elevated concentrations of Be-10 were found in the late austral summer and early autumn snow, synchronous with the seasonal increase in stratospheric aerosols at Antarctic stations. A significant (P&lt;0.01) anticorrelation of Be-10 with delta O-18 occurs at the snowfall event scale. Fractionation of water isotopes at Law Dome is controlled by local and regional processes, specifically transport and local temperature. The anticorrelation seen here implies that (10) Be concentration was reduced in snow from warmer air masses (characterized by less negative delta O-18). There is potential for confounding solar modulation with climatic modulation if at sites such as this one, warmer meteorological influences may be associated with reduced Be-10 concentrations. Quantification of the significance of this effect for the longer-term Be-10 record will require analysis of longer Be-10 records from different sites.</t>
  </si>
  <si>
    <t>Australian Govt Antarctic Div, Kingston, Tas, Australia; Antarctic Climate &amp; Ecosyst CRC, Hobart, Tas 7001, Australia; Australian Nucl Sci &amp; Technol Org, ANTARES AMS, Menai, NSW 2234, Australia; Univ Tasmania, Inst Antarctic &amp; So Ocean Studies, Hobart, Tas 7001, Australia</t>
  </si>
  <si>
    <t>Australian Antarctic Division; University of Tasmania; Australian Nuclear Science &amp; Technology Organisation; University of Tasmania</t>
  </si>
  <si>
    <t>Pedro, J (corresponding author), Australian Govt Antarctic Div, Kingston, Tas, Australia.</t>
  </si>
  <si>
    <t>jbpedro@utas.edu.au</t>
  </si>
  <si>
    <t>, Andrew/HLX-8550-2023; Pedro, Joel/M-5632-2014; Pedro, Joel Benjamin/L-8918-2019; van Ommen, Tas/B-5020-2012</t>
  </si>
  <si>
    <t>Pedro, Joel/0000-0002-0728-2712; Pedro, Joel Benjamin/0000-0002-0728-2712; van Ommen, Tas/0000-0002-2463-1718; Smith, Andrew/0000-0002-9193-2617</t>
  </si>
  <si>
    <t>D21105</t>
  </si>
  <si>
    <t>10.1029/2005JD006764</t>
  </si>
  <si>
    <t>104UE</t>
  </si>
  <si>
    <t>WOS:000241984100001</t>
  </si>
  <si>
    <t>Frenz, M; Henrich, R; Zychla, B</t>
  </si>
  <si>
    <t>Frenz, Michael; Henrich, Rudiger; Zychla, Bjorn</t>
  </si>
  <si>
    <t>Carbonate preservation patterns at the Ceara Rise - Evidence for the Pliocene super conveyor</t>
  </si>
  <si>
    <t>Ceara Rise; Pliocene super conveyor; NADW; carbonate dissolution; grain size</t>
  </si>
  <si>
    <t>DEEP-WATER CIRCULATION; SILT GRAIN-SIZE; GLOBIGERINA-BULLOIDES; EQUATORIAL ATLANTIC; SOUTH ATLANTIC; CORROSIVENESS; VARIABILITY</t>
  </si>
  <si>
    <t>Enhanced Atlantic overturning during the Pliocene was first proposed almost 10 yrs ago. Evidence for this Pliocene super conveyor scenario has been collected using a number of proxies (e.g., benthic delta(13) C, Nd isotopic composition of manganese crusts). The present study contributes to the existing evidences by using carbonate dissolution and current vigour history of early Pliocene sediments from the Ceara Rise (ODP Sites 927 and 929). In order to reveal carbonate dissolution history, a number of commonly used and newly established proxies were applied, i.e., sand and carbonate contents, foraminifer fragmentation index, Bulloides Dissolution Index and carbonate silt grain-size distributions. Terrigenous silt grain-size distributions were used to unravel variations in relative current strength and sediment input to the two sites. Overall good carbonate preservation at the shallow Site 927 (3314 m water depth) shows that this level was bathed in North Atlantic Deep Water throughout the early Pliocene. The contrastingly poor carbonate preservation record of the deeper Site 929 (4358 in water depth, at present exposed to Antarctic Bottom Water) is frequently interrupted by phases of good carbonate preservation. These results indicate that the depth of the calcite lysocline was mainly tied to present level (similar to 4200 m water depth), and sometimes even dropped to water depths greater than 4360 in due to even more enhanced circulatiom Surprisingly the expansion of NADW is not clearly reflected by an increase in current speed as shown by continuously fine terrigenous grain size. (c) 2006 Published by Elsevier B.V.</t>
  </si>
  <si>
    <t>Univ Bremen, Fac Geosci, D-28359 Bremen, Germany</t>
  </si>
  <si>
    <t>University of Bremen</t>
  </si>
  <si>
    <t>Frenz, M (corresponding author), Natl Oceanog Ctr, European Way, Southampton SO14 3ZH, Hants, England.</t>
  </si>
  <si>
    <t>mxf@noc.soton.ac.uk</t>
  </si>
  <si>
    <t>NERC [soc010003] Funding Source: UKRI; Natural Environment Research Council [soc010003] Funding Source: researchfish</t>
  </si>
  <si>
    <t>10.1016/j.margeo.2006.07.006</t>
  </si>
  <si>
    <t>109VH</t>
  </si>
  <si>
    <t>WOS:000242336600004</t>
  </si>
  <si>
    <t>Hopkins, DW; Sparr, AD; Novis, PM; Gregorich, EG; Elberling, B; Greenfield, LG</t>
  </si>
  <si>
    <t>Hopkins, D. W.; Sparr, A. D.; Novis, P. M.; Gregorich, E. G.; Elberling, B.; Greenfield, L. G.</t>
  </si>
  <si>
    <t>Controls on the distribution of productivity and organic resources in Antarctic Dry Valley soils</t>
  </si>
  <si>
    <t>PROCEEDINGS OF THE ROYAL SOCIETY B-BIOLOGICAL SCIENCES</t>
  </si>
  <si>
    <t>Antarctica; carbon; decomposition; Dry Valleys; respiration; soil</t>
  </si>
  <si>
    <t>SOUTHERN VICTORIA-LAND; CHLOROPHYLL-A FLUORESCENCE; MCMURDO SOUND REGION; TAYLOR VALLEY; DESERT; LAKE; MATTER; BIODIVERSITY; ENVIRONMENT; COMMUNITIES</t>
  </si>
  <si>
    <t>The Antarctic Dry Valleys are regarded as one of the harshest terrestrial habitats on Earth because of the extremely cold and dry conditions. Despite the extreme environment and scarcity of conspicuous primary producers, the soils contain organic carbon and heterotrophic micro-organisms and invertebrates. Potential sources of organic compounds to sustain soil organisms include in situ primary production by micro-organisms and mosses, spatial subsidies from lacustrine and marine-derived detritus, and temporal subsidies ('legacies') from ancient lake deposits. The contributions from these sources at different sites are likely to be influenced by local environmental conditions, especially soil moisture content, position in the landscape in relation to lake level oscillations and legacies from previous geomorphic processes. Here we review the abiotic factors that influence biological activity in Dry Valley soils and present a conceptual model that summarizes mechanisms leading to organic resources therein.</t>
  </si>
  <si>
    <t>Univ Stirling, Sch Biol &amp; Environm Sci, Stirling FK9 4LA, Scotland; Univ Nevada, Dept Nat Resources &amp; Environm Sci, Reno, NV 89512 USA; Manaaki Whenua Landcare Res, Lincoln 8152, New Zealand; Agr Canada, Cent Expt Farm, Ottawa, ON K1A 0C6, Canada; Univ Copenhagen, Inst Geog, DK-1350 Copenhagen K, Denmark; Univ Canterbury, Sch Biol Sci, Christchurch 8020, New Zealand</t>
  </si>
  <si>
    <t>University of Stirling; Nevada System of Higher Education (NSHE); University of Nevada Reno; Landcare Research - New Zealand; Agriculture &amp; Agri Food Canada; University of Copenhagen; University of Canterbury</t>
  </si>
  <si>
    <t>Hopkins, DW (corresponding author), Scottish Crop Res Inst, Dundee DD2 5DA, Scotland.</t>
  </si>
  <si>
    <t>david.hopkins@scri.ac.uk</t>
  </si>
  <si>
    <t>Sparrow, Ashley/D-7872-2011; Gregorich, Edward G./J-9785-2012; Elberling, Bo/M-4000-2014</t>
  </si>
  <si>
    <t>Sparrow, Ashley/0000-0003-0388-8255; Elberling, Bo/0000-0002-6023-885X; Gregorich, Edward/0000-0003-3652-2946; Hopkins, David/0000-0003-0953-8643; Novis, Phil/0000-0002-8802-4984</t>
  </si>
  <si>
    <t>ROYAL SOC</t>
  </si>
  <si>
    <t>6-9 CARLTON HOUSE TERRACE, LONDON SW1Y 5AG, ENGLAND</t>
  </si>
  <si>
    <t>0962-8452</t>
  </si>
  <si>
    <t>1471-2954</t>
  </si>
  <si>
    <t>P ROY SOC B-BIOL SCI</t>
  </si>
  <si>
    <t>Proc. R. Soc. B-Biol. Sci.</t>
  </si>
  <si>
    <t>10.1098/rspb.2006.3595</t>
  </si>
  <si>
    <t>Biology; Ecology; Evolutionary Biology</t>
  </si>
  <si>
    <t>Life Sciences &amp; Biomedicine - Other Topics; Environmental Sciences &amp; Ecology; Evolutionary Biology</t>
  </si>
  <si>
    <t>099WS</t>
  </si>
  <si>
    <t>WOS:000241628500001</t>
  </si>
  <si>
    <t>Köhler, P; Muscheler, R; Fischer, H</t>
  </si>
  <si>
    <t>Koehler, Peter; Muscheler, Raimund; Fischer, Hubertus</t>
  </si>
  <si>
    <t>A model-based interpretation of low-frequency changes in the carbon cycle during the last 120,000 years and its implications for the reconstruction of atmospheric Δ14C</t>
  </si>
  <si>
    <t>carbon cycle; C-14 cycle; C-14 production rates; glacial/interglacial; modeling; box model</t>
  </si>
  <si>
    <t>GEOMAGNETIC-FIELD INTENSITY; ATLANTIC THERMOHALINE CIRCULATION; RADIOCARBON AGE CALIBRATION; 8 GLACIAL CYCLES; SEA-ICE EXTENT; NORTH-ATLANTIC; SOUTHERN-OCEAN; CLIMATE-CHANGE; YOUNGER DRYAS; TAYLOR-DOME</t>
  </si>
  <si>
    <t>A main caveat in the interpretation of observed changes in atmospheric Delta C-14 during the last 50,000 years is the unknown variability of the carbon cycle, which together with changes in the C-14 production rates determines the C-14 dynamics. A plausible scenario explaining glacial/interglacial dynamics seen in atmospheric CO2 and delta C-13 was proposed recently (Kohler et al., 2005a). A similar approach that expands its interpretation to the C-14 cycle is an important step toward a deeper understanding of Delta C-14 variability. This approach is based on an ocean/atmosphere/biosphere box model of the global carbon cycle (BICYCLE) to reproduce low-frequency changes in atmospheric CO2 as seen in Antarctic ice cores. The model is forced forward in time by various paleoclimatic records derived from ice and sediment cores. The simulation results of our proposed scenario match a compiled CO2 record from various ice cores during the last 120,000 years with high accuracy (r(2)=0.89). We analyze scenarios with different C-14 production rates, which are either constant or based on Be-10 measured in Greenland ice cores or the recent high-resolution geomagnetic field reconstruction GLOPIS-75 and compare them with the available Delta C-14 data covering the last 50,000 years. Our results suggest that during the last glacial cycle in general less than 110% of the increased atmospheric Delta C-14 is based on variations in the carbon cycle, while the largest part (5/6) of the variations has to be explained by other factors. Glacial atmospheric Delta C-14 larger than 700 parts per thousand cannot not be explained within our framework, neither through carbon cycle-based changes nor through variable C-14 production. Superimposed on these general trends might lie positive anomalies in atmospheric Delta C-14 of similar to 50 parts per thousand caused by millennial-scale variability of the northern deep water production during Heinrich events and Dansgaard/Oeschger climate fluctuations. According to our model, the dominant processes that increase glacial Delta C-14 are a reduced glacial ocean circulation (+similar to 40 parts per thousand), a restricted glacial gas exchange between the atmosphere and the surface ocean through sea ice coverage (+similar to 20 parts per thousand), and the enrichment of dissolved inorganic carbon with C-14 in the surface waters through isotopic fractionation during higher glacial marine export production caused by iron fertilization (+similar to 10%).</t>
  </si>
  <si>
    <t>Helmholtz Ctr Polar &amp; Marine Res, Alfred Wegener Inst, D-27515 Bremerhaven, Germany; Natl Ctr Atmospher Res, Climate &amp; Global Dynam Div Paleoclimatol, Boulder, CO 80307 USA</t>
  </si>
  <si>
    <t>Helmholtz Association; Alfred Wegener Institute, Helmholtz Centre for Polar &amp; Marine Research; National Center Atmospheric Research (NCAR) - USA</t>
  </si>
  <si>
    <t>Köhler, P (corresponding author), Helmholtz Ctr Polar &amp; Marine Res, Alfred Wegener Inst, POB 120161, D-27515 Bremerhaven, Germany.</t>
  </si>
  <si>
    <t>pkoehler@awi-bremerhaven.de; raimund@climate.gsfc.nasa.gov; hufischer@awi-bremerhaven.de</t>
  </si>
  <si>
    <t>Köhler, Peter/F-7293-2010; Fischer, Hubertus/A-1211-2014</t>
  </si>
  <si>
    <t>Köhler, Peter/0000-0003-0904-8484; Muscheler, Raimund/0000-0003-2772-3631; Fischer, Hubertus/0000-0002-2787-4221</t>
  </si>
  <si>
    <t>NOV 3</t>
  </si>
  <si>
    <t>Q11N06</t>
  </si>
  <si>
    <t>10.1029/2005GC001228</t>
  </si>
  <si>
    <t>103DI</t>
  </si>
  <si>
    <t>Green Published, Green Submitted</t>
  </si>
  <si>
    <t>WOS:000241865500001</t>
  </si>
  <si>
    <t>Frey, MM; Bales, RC; McConnell, JR</t>
  </si>
  <si>
    <t>Frey, Markus M.; Bales, Roger C.; McConnell, Joseph R.</t>
  </si>
  <si>
    <t>Climate sensitivity of the century-scale hydrogen peroxide (H2O2) record preserved in 23 ice cores from West Antarctica</t>
  </si>
  <si>
    <t>SNOW TRANSFER-FUNCTION; SOUTH-POLE; STRATOSPHERIC OZONE; ANNUAL ACCUMULATION; SURFACE SNOW; GREENLAND; VARIABILITY; FIRN; ATMOSPHERE; CHEMISTRY</t>
  </si>
  <si>
    <t>We report new century-scale ice core records of hydrogen peroxide (H2O2), a major atmospheric oxidant, from 23 locations across the West Antarctic Ice Sheet (WAIS) and use the spatial variability of (multi-) annual mean H2O2 concentrations in snow and firn to investigate the sensitivity of ice core H2O2 preservation to mean annual temperature and accumulation rate. In agreement with the ice-air equilibrium partitioning, H2O2 uptake in near-surface firn was found to be greatest at low temperatures, while postdepositional losses from degassing increase as accumulation rates decrease. This resulted in almost complete loss of H2O2 at warm (&gt;-25 degrees C), low-accumulation sites (&lt;13 cm yr(-1)), but excellent preservation of records at cold, high-accumulation sites. A two-parameter semiempirical model fitted to the 1911-1960 H2O2 means across all sites predicts &gt;94% deviations from the ice-air equilibrium at high-accumulation sites (&gt;30 cm yr(-1)), but close-to-equilibrium values on the East Antarctic Plateau, where it is dry (&lt;11 cm yr(-1)). It also estimates a weighted average of the annual atmospheric H2O2 cycle of 1-3 pptv, about 10% of the levels at the bottom of the H2O2 range observed in winter and early spring in coastal Antarctica. Sensitivities from the model fit suggest that recent changes of annual mean temperature observed in Antarctica have no noticeable effect on the H2O2 record in the interior of West Antarctica and that interannual variability of annual H2O2 is dominated by variations in regional-scale accumulation under the current WAIS climate. Intermittent correlations between the first PC time series of accumulation rate and H2O2 concentration anomalies and the annualized SOI during the 20th century are statistically significant (r&gt;0.6, p&lt;0.05) during extended El Nino-La Nina events and explain the occurrence of significant spectral peaks at ENSO-like periodicities (2-7 years) in the H2O2 record. Core records of H2O2 at high-accumulation sites(&gt;30 cm yr(-1)) are most suitable for detection of temporal changes in atmospheric concentration, although a long-term H2O2 record will be well preserved under the current environment at the WAIS Divide core site.</t>
  </si>
  <si>
    <t>Univ Arizona, Dept Hydrol &amp; Water Resources, Tucson, AZ 85721 USA; Univ Calif, Sch Engn, Atwater, CA 95301 USA; Univ Nevada, Desert Res Inst, Div Hydrol Sci, Reno, NV 89512 USA</t>
  </si>
  <si>
    <t>University of Arizona; Nevada System of Higher Education (NSHE); University of Nevada Reno; Desert Research Institute NSHE</t>
  </si>
  <si>
    <t>Frey, MM (corresponding author), Univ Arizona, Dept Hydrol &amp; Water Resources, Tucson, AZ 85721 USA.</t>
  </si>
  <si>
    <t>mfrey@ucmerced.edu</t>
  </si>
  <si>
    <t>Frey, Markus/G-1756-2012</t>
  </si>
  <si>
    <t>Frey, Markus/0000-0003-0535-0416</t>
  </si>
  <si>
    <t>D21301</t>
  </si>
  <si>
    <t>10.1029/2005JD006816</t>
  </si>
  <si>
    <t>103DR</t>
  </si>
  <si>
    <t>WOS:000241866400001</t>
  </si>
  <si>
    <t>Zelaya, DG; Ituarte, C</t>
  </si>
  <si>
    <t>Zelaya, Diego G.; Ituarte, Cristian</t>
  </si>
  <si>
    <t>Redescription of two antarctic species of Cuspidaria:: C. concentrica Thiele, 1912 and C. minima (Egorova, 1993) (Bivalvia: Cuspidariidae)</t>
  </si>
  <si>
    <t>VELIGER</t>
  </si>
  <si>
    <t>Cuspidaria concentrica Thiele, 1912, frequently reported as a synonym of Cuspidaria kerguelensis Smith, 1885, is redescribed and revalidated following the study of new materials from the South Georgia Islands; this constitutes the first record of its presence in the Scotia Sea. The more elongated shell outline of C. concentrica and the smaller number of elevated lamellar concentric ridges clearly separate it from C. kerguelensis. Cuspidaria minima (Egorova, 1993), a species known from East Antarctica and the South Orkneys Islands, is redescribed based upon material from the Elephant Islands. C. minima is characterized by a small shell with a globose disk strikingly separated from the short rostrum and a shell surface with high, lamellated, upwardly bent commarginal ridges. Anatomical data, mainly from septal musculature of both species, are given. Type specimens of Cuspidaria tenella Smith, 1907, Cuspidaria plicata Thiele, 1912, and Cuspidaria infelix Thiele, 1912, are refigured and the reports on the presence of C. kerguelensis in the Scotia Arc Islands are discussed.</t>
  </si>
  <si>
    <t>Museo La Plata, Div Invertebrate Zool, RA-1900 La Plata, Argentina</t>
  </si>
  <si>
    <t>Zelaya, DG (corresponding author), Museo La Plata, Div Invertebrate Zool, RA-1900 La Plata, Argentina.</t>
  </si>
  <si>
    <t>dzelaya@museo.fcnym.unlp.edu.ar</t>
  </si>
  <si>
    <t>CALIF MALACOZOOLOGICAL SOC INC</t>
  </si>
  <si>
    <t>SANTA BARBARA</t>
  </si>
  <si>
    <t>SANTA BARBARA MUSEUM NATURAL HISTORY, 2559 PUESTA DEL SOL RD, SANTA BARBARA, CA 93105 USA</t>
  </si>
  <si>
    <t>0042-3211</t>
  </si>
  <si>
    <t>Veliger</t>
  </si>
  <si>
    <t>NOV 2</t>
  </si>
  <si>
    <t>Marine &amp; Freshwater Biology; Zoology</t>
  </si>
  <si>
    <t>104ET</t>
  </si>
  <si>
    <t>WOS:000241940000005</t>
  </si>
  <si>
    <t>Chen, YJ; Zhou, RJ; Shi, CH; Bi, Y</t>
  </si>
  <si>
    <t>Chen Yuejuan; Zhou Renjun; Shi Chunhua; Bi Yun</t>
  </si>
  <si>
    <t>Study on the trace species in the stratosphere and their impact on climate</t>
  </si>
  <si>
    <t>ADVANCES IN ATMOSPHERIC SCIENCES</t>
  </si>
  <si>
    <t>9th Scientific Assembly of the International Association of Meteorology and Atmospheric Sciences (IAMAS-2005)</t>
  </si>
  <si>
    <t>AUG 02-11, 2005</t>
  </si>
  <si>
    <t>stratosphere; trace gases; global climate</t>
  </si>
  <si>
    <t>HALOGEN OCCULTATION EXPERIMENT; QUASI-BIENNIAL OSCILLATION; ANTARCTIC OZONE DEPLETION; GENERAL-CIRCULATION MODEL; WATER-VAPOR; TROPICAL STRATOSPHERE; UARS PLATFORM; VALIDATION; BUDGET; QBO</t>
  </si>
  <si>
    <t>The trace gases (O-3, HCl, CH4, H2O, NO, NO2) in the stratosphere play an important role, not only in the photochemical processes in which the ozone layer destroyed, but also in the radiative processes. In this paper, we review the works on the distribution and variation of the trace gases in the stratosphere and their impact on climate, which have been carried out at the University of Science and Technology of China in the recent 20 years. The Halogen Occultation Experiment (HALOE) data were used to analyse the distribution and variation of the mixing ratio of these trace gases and the temperature trends in the stratosphere in the most recent decade. And the reanalyzed National Centers of Environmental Prediction (NCEP)/NCAR data were also used to give the temperature trends and compared with the results from HALOE data. Numerical simulations were also carried out to study the impact of ozone depletion on the global climate. In this review, the distributions of the trace gases, especially those over the Qinghai-Xizang Plateau, are discussed, and the variations and trends for the trace gases in various levels in the stratosphere have been given for the most recent decade. The temperature variation and the cooling trend obtained from HALOE data in the middle and lower stratosphere for the last 13 years are significant, which agree well with the results from NCEP/NCAR data. While the temperature trend in the upper stratosphere in this period do not seem to have much cooling. The numerical simulations show that either the Antarctic ozone hole or the ozone valley over Qinghai-Xizang Plateau affect not only the temperature and circulation in the stratosphere, but also the temperature, pressure and wind fields in the troposphere, then lead to the global climate change.</t>
  </si>
  <si>
    <t>Univ Sci &amp; Technol China, Sch Earth &amp; Space Sci, Hefei 230026, Peoples R China</t>
  </si>
  <si>
    <t>Chinese Academy of Sciences; University of Science &amp; Technology of China, CAS</t>
  </si>
  <si>
    <t>Chen, YJ (corresponding author), Univ Sci &amp; Technol China, Sch Earth &amp; Space Sci, Hefei 230026, Peoples R China.</t>
  </si>
  <si>
    <t>cyj@ustc.edu.cn</t>
  </si>
  <si>
    <t>0256-1530</t>
  </si>
  <si>
    <t>1861-9533</t>
  </si>
  <si>
    <t>ADV ATMOS SCI</t>
  </si>
  <si>
    <t>Adv. Atmos. Sci.</t>
  </si>
  <si>
    <t>NOV</t>
  </si>
  <si>
    <t>10.1007/s00376-006-1020-3</t>
  </si>
  <si>
    <t>112KA</t>
  </si>
  <si>
    <t>WOS:000242523400016</t>
  </si>
  <si>
    <t>Bernard, ATF; Froneman, PW</t>
  </si>
  <si>
    <t>Bernard, A. T. F.; Froneman, P. W.</t>
  </si>
  <si>
    <t>Euphausiid population structure and grazing in the Antarctic Polar Frontal Zone - austral autumn 2004</t>
  </si>
  <si>
    <t>AFRICAN JOURNAL OF MARINE SCIENCE</t>
  </si>
  <si>
    <t>euphausiid; ingestion; Polar Frontal Zone; population structure</t>
  </si>
  <si>
    <t>PRINCE-EDWARD-ISLANDS; MESOZOOPLANKTON COMMUNITY STRUCTURE; DIEL FEEDING PATTERNS; SOUTH INDIAN-OCEAN; ATLANTIC SECTOR; CIRCUMPOLAR CURRENT; ZOOPLANKTON STRUCTURE; ELEMENTAL COMPOSITION; BELLINGSHAUSEN SEA; METABOLIC-ACTIVITY</t>
  </si>
  <si>
    <t>The euphausiid community structure and grazing dynamics were investigated in the West Indian sector of the Polar Frontal Zone during the austral autumn 2004. Subsurface (200m) temperature profiles indicated that an intense frontal feature, formed by the convergence of the Subantarctic Front and the Antarctic Polar Front bisected the survey area into two distinct zones, the Subantarctic Zone (SAZ) and the Antarctic Zone (AAZ). Total integrated chlorophyll a (Chi a) biomass was typical for the region (&lt; 25mg Chi a m(-2)), and was dominated by picophytoplankton. Total euphausiid abundance and biomass ranged from 0.1 m(-3) to 3.1 m(-3) and from 0.1mg dry weight m(-3) to 8.1mg dry weight m(-3) respectively, and did not differ significantly between the stations occupied in the SAZ and AAZ (p &gt; 0.05). A multivariate analysis identified two interacting mechanisms controlling the distribution patterns, abundance and biomass of the various euphausiid species, namely (1) diel changes in abundance and biomass, and (2) restricted distribution patterns associated with the different water masses. Ingestion rates were determined for five euphausiid species. Euphausia triacantha had the highest daily ingestion rate, ranging from 1 226.1 ng pigment (pigm) ind(-1) day(-1) to 6 029.1 ng pigm ind(-1) day(-1), whereas the lowest daily ingestion rates were observed in the juvenile Thysanoessa species (6.4-943.0ng pigm ind(-1) day(-1)). The total grazing impact of selected euphausiids ranged from &lt; 0.1 mu g pigm m(-2) day(-1) to 20.1 mu g pigm m(-2) day(-1), corresponding to &lt; 0.15% of the areal Chl a biomass. The daily ration estimates of autotrophic carbon for the euphausiids suggest that phytoplankton represent a minor component in their diets, with only the sub-adult E. vallentini consuming sufficient phytoplankton to meet their daily carbon requirements.</t>
  </si>
  <si>
    <t>Rhodes Univ, Dept Zool &amp; Entomol, So Ocean Grp, ZA-6140 Grahamstown, South Africa</t>
  </si>
  <si>
    <t>Rhodes University</t>
  </si>
  <si>
    <t>Froneman, PW (corresponding author), Rhodes Univ, Dept Zool &amp; Entomol, So Ocean Grp, POB 94, ZA-6140 Grahamstown, South Africa.</t>
  </si>
  <si>
    <t>wfroneman@ru.ac.za</t>
  </si>
  <si>
    <t>Froneman, William/C-9085-2012; Bernard, Anthony/M-8292-2019; Froneman, William/GLS-0460-2022</t>
  </si>
  <si>
    <t>Bernard, Anthony/0000-0003-0482-6283; Froneman, William/0000-0003-0615-1355</t>
  </si>
  <si>
    <t>NATL INQUIRY SERVICES CENTRE PTY LTD</t>
  </si>
  <si>
    <t>GRAHAMSTOWN</t>
  </si>
  <si>
    <t>19 WORCESTER STREET, PO BOX 377, GRAHAMSTOWN 6140, SOUTH AFRICA</t>
  </si>
  <si>
    <t>1814-232X</t>
  </si>
  <si>
    <t>AFR J MAR SCI</t>
  </si>
  <si>
    <t>Afr. J. Mar. Sci.</t>
  </si>
  <si>
    <t>10.2989/18142320609504207</t>
  </si>
  <si>
    <t>124VZ</t>
  </si>
  <si>
    <t>WOS:000243400400009</t>
  </si>
  <si>
    <t>Deere, JA; Chown, SL</t>
  </si>
  <si>
    <t>Deere, Jacques A.; Chown, Steven L.</t>
  </si>
  <si>
    <t>Testing the beneficial acclimation hypothesis and its alternatives for locomotor performance</t>
  </si>
  <si>
    <t>performance breadth; phenotypic plasticity; maximum speed; optimal temperature; temperature compensation</t>
  </si>
  <si>
    <t>CONTINENTAL ANTARCTIC MITE; METABOLIC COLD ADAPTATION; PHENOTYPIC PLASTICITY; THERMAL SENSITIVITY; DEVELOPMENTAL TEMPERATURE; PHYSIOLOGICAL PLASTICITY; EVOLUTION; MARION; DROSOPHILA; ECOLOGY</t>
  </si>
  <si>
    <t>The beneficial acclimation hypothesis ( BAH) is controversial. While physiological work all but assumes that the BAH is true, recent studies have shown that support for the BAH is typically wanting. The latter have been criticized for assessing the benefits of developmental plasticity rather than acclimation. Here we examine the BAH within a strong inference framework for five congeneric species of ameronothroid oribatid mites that occupy marine to terrestrial habitats. We do so by assessing responses of maximum speed, optimum temperature, and performance breadth, measured from - 10 degrees C to 35 degrees C, to four treatment temperatures ( 0 degrees, 5 degrees, 10 degrees, and 15 degrees C). We show that the BAH and its alternatives often make similar empirical predictions. Weak beneficial acclimation is characteristic of one of the more marine species. In the other two upper-shore and marine species, evidence exists for deleterious acclimation and the colder-is-better hypothesis. In the two fully terrestrial species, there is no plasticity. Lack of plasticity is beneficial when cue reliability is low or costs of plasticity are high, and the former seems plausible in terrestrial habitats. However, weak plasticity in the uppershore/marine species and the absence of plasticity in the terrestrial species might also be a consequence of phylogenetic constraint.</t>
  </si>
  <si>
    <t>Deere, JA (corresponding author), Univ Stellenbosch, Ctr Invas Biol, Dept Bot &amp; Zool, Private Bag 11, ZA-7602 Matieland, South Africa.</t>
  </si>
  <si>
    <t>jadeere@sun.ac.za; slchown@sun.ac.za</t>
  </si>
  <si>
    <t>Chown, Steven L/H-3347-2011; Chown, Steven/ABD-7646-2021; Deere, Jacques/C-8128-2009; Deere, Jacques/I-4721-2019</t>
  </si>
  <si>
    <t>Deere, Jacques/0000-0001-6736-2223</t>
  </si>
  <si>
    <t>10.1086/508026</t>
  </si>
  <si>
    <t>105GR</t>
  </si>
  <si>
    <t>WOS:000242018900005</t>
  </si>
  <si>
    <t>Akhalkatsi, M; Abdaladze, O; Nakhutsrishvili, G; Smith, WK</t>
  </si>
  <si>
    <t>Akhalkatsi, Maia; Abdaladze, Otar; Nakhutsrishvili, George; Smith, William K.</t>
  </si>
  <si>
    <t>Facilitation of seedling microsites by Rhododendron caucaskum extends the Betula litwinowii Alpine treeline, Caucasus Mountains, Republic of Georgia</t>
  </si>
  <si>
    <t>ARCTIC ANTARCTIC AND ALPINE RESEARCH</t>
  </si>
  <si>
    <t>LOW-TEMPERATURE PHOTOINHIBITION; PICEA-EXCELSA LINK; PINUS-CEMBRA L; SUB-ALPINE; MAXIMUM; MICROCLIMATE; TIMBERLINE; RESISTANCE; ERICACEAE; ERMANII</t>
  </si>
  <si>
    <t>In the Central Greater Caucasus Mountains, Georgia, Betula litwinowii (birch) occurs on north-facing slopes of east-west ridgelines that extend upward to high mountain peaks, forms the alpine timberline at higher elevation, and reaches its highest treeline limit only when associated with the broadleaf evergreen shrub, Rhododendron caucasicum. This association might generate an ecological facilitation of either temperatures or sky exposure, both of which have been related to the altitudes at which timberlines/treelines occur. At the lowest site (2072 m) the greatest abundance of birch seedlings (up to 2.3 seedlings/m(2)) occurred at shaded microsites beneath the B. litwinowii overstory and along shaded north-facing walls of polyhedral soil depressions just beyond this treeline. These seedling microsites also had substantially colder air and soil temperature regimes than more sun-exposed microsites. Similarly, at the highest elevation site (2512 m) the second greatest seedling abundance (0.73 seedlings/m(2)) occurred in the shaded understory beneath R. caucasicum. Moreover, these microsites had the coldest minimum air and soil temperatures (-1.3 degrees C at 5 cm depths), along with the greatest number of days (40) with minimum soil temperatures &lt; 5 degrees C recorded for the measurement period (11 July to 25 October 2003). In addition to the lowest number of seedlings, the more sun-exposed microsites at all sites also had the greatest percent (28-32%) of red leaves per plant, indicative of high concentrations of photoprotective anthocyanins. Thus, reduced sky exposure, and not cold temperature effects, was associated with greater seedling abundance and fewer red leaves per seedling, despite colder temperature regimes. Thus, facilitation of B. litwinowii seedling establishment by the R. caucasicum overstory appeared to extend the maximum altitude of the Betula treeline via reductions in sunlight exposure, despite lower temperatures.</t>
  </si>
  <si>
    <t>Georgian Acad Sci, Inst Bot, GE-0105 Tbilisi, Georgia</t>
  </si>
  <si>
    <t>National Academy of Sciences of Georgia</t>
  </si>
  <si>
    <t>Akhalkatsi, M (corresponding author), Wake Forest Univ, Dept Biol, POB 7325,Reynolda Stn, Winston Salem, NC 27109 USA.</t>
  </si>
  <si>
    <t>orchisge@yahoo.com; otarabaladze@yahoo.com; nakhutsrishvili@yahoo.com; smithwk@wfu.edu</t>
  </si>
  <si>
    <t>Akhalkatsi, Maia/B-2187-2008</t>
  </si>
  <si>
    <t>Akhalkatsi, Maia/0000-0002-9770-7840</t>
  </si>
  <si>
    <t>INST ARCTIC ALPINE RES</t>
  </si>
  <si>
    <t>UNIV COLORADO, BOULDER, CO 80309 USA</t>
  </si>
  <si>
    <t>1523-0430</t>
  </si>
  <si>
    <t>1938-4246</t>
  </si>
  <si>
    <t>ARCT ANTARCT ALP RES</t>
  </si>
  <si>
    <t>Arct. Antarct. Alp. Res.</t>
  </si>
  <si>
    <t>10.1657/1523-0430(2006)38[481:FOSMBR]2.0.CO;2</t>
  </si>
  <si>
    <t>Environmental Sciences; Geography, Physical</t>
  </si>
  <si>
    <t>112ET</t>
  </si>
  <si>
    <t>WOS:000242509200001</t>
  </si>
  <si>
    <t>Barrand, NE; Murray, T</t>
  </si>
  <si>
    <t>Barrand, Nicholas E.; Murray, Tavi</t>
  </si>
  <si>
    <t>Multivariate controls on the incidence of glacier surging in the Karakoram Himalaya</t>
  </si>
  <si>
    <t>SVALBARD; DEFORMATION; MECHANISM; PAKISTAN; SURGES; TILL; DYNAMICS; STREAMS; FLOW; BED</t>
  </si>
  <si>
    <t>Surge-type glaciers experience cyclic flow instabilities characterized by alternating periods of slow and fast flow. The geographical distribution of surge-type glaciers has been shown to be distinctly non-random in that they are clustered in some regions yet are completely absent from others. In order to identify factors that influence glacier surging, a number of environmental and glacial attributes were examined for an area in the Karakoram Himalaya, Central Asia. A new GIS-based glacier inventory was produced using a combination of ASTER and Landsat remotely sensed images and paper maps. A total of 150 glaciers were digitized, with 19 of these (12.6%) being classified as of surge-type. Attribute data for 10 glacial and environmental attributes were recorded either during the digitization phase or extracted automatically from the GIS. Simple data visualization techniques revealed a positive correlation between glacier surging and glacier length, area, perimeter size, average width, debris cover, and orientation. The use of univariate logit regression analysis showed that length, area, perimeter, average width, and the heaviest debris cover class showed significant correlation with surging. Multivariate logit regression techniques were employed to show that length, area, average width, and debris cover were all multicollinear, with the strongest statistically modeled relationship using the variable perimeter size. The significance of glacier perimeter on surging may be explained by an increased availability of avalanche-fed snow and debris material which may act as a mass balance proxy. The findings that glacier size (in particular length and perimeter) is most strongly related to surging are consistent with the findings of studies in a number of different regions.</t>
  </si>
  <si>
    <t>Univ Coll Swansea, Sch Environm &amp; Soc, Swansea SA2 8PP, W Glam, Wales</t>
  </si>
  <si>
    <t>Swansea University</t>
  </si>
  <si>
    <t>Barrand, NE (corresponding author), Univ Coll Swansea, Sch Environm &amp; Soc, Singleton Pk, Swansea SA2 8PP, W Glam, Wales.</t>
  </si>
  <si>
    <t>n.e.barrand.405092@swansea.ac.uk</t>
  </si>
  <si>
    <t>Barrand, Nicholas/0000-0003-4428-1863</t>
  </si>
  <si>
    <t>10.1657/1523-0430(2006)38[489:MCOTIO]2.0.CO;2</t>
  </si>
  <si>
    <t>WOS:000242509200002</t>
  </si>
  <si>
    <t>Egli, M; Wernli, M; Kneisel, C; Haeberli, W</t>
  </si>
  <si>
    <t>Egli, Markus; Wernli, Michael; Kneisel, Christof; Haeberli, Wilfried</t>
  </si>
  <si>
    <t>Melting glaciers and soil development in the proglacial area Morteratsch (Swiss Alps): I. Soil type chronosequence</t>
  </si>
  <si>
    <t>MENDENHALL GLACIER; WEATHERING RATES; SOUTHEAST ALASKA; CLIMATE; TRENTINO; MORAINES; REGION; SCALE; CLASSIFICATION; PODZOLIZATION</t>
  </si>
  <si>
    <t>Proglacial areas in the Alps usually cover a time span of deglaciation of about 150 years (time since the end of the Little Ice Age in the 1850s). In these proglacial areas soils have started to develop. In view of the foreseeable climate change, the time factor is of growing interest with respect to the landscape and consequently the soil development. We investigated soil changes (primarily on the basis of soil types) in the proglacial area Morteratsch (Swiss Alps) to derive time trends that call be used as a basis for spatial modeling. Differences in the soil development could be primarily interpreted in view of the time scale and topography (landscape shape, slope, aspect). Data was managed with GIS and regression analyses. Input data sets were the digital soil map, the glacial states, and the digital elevation model. The calculations were done raster based (GRID, 20 In resolution). After about 20 years the first signs of soil development could be found. Around 25% of the area of the valley floor is covered with weakly developed Skeletic/Lithic Leptosol after about 30 years of deglaciation. One hundred years of soil development led to a strong decrease of the Skeletic/Lithic Leptosol in favor of the Humi-Skeletic Leptosol and Ranker. Fluvisols and Cambisols play a subordinate role also after 100-150 years. Undisturbed and fast soil evolution was measured in flat positions and on slopes up to about 14 degrees. In general, the various landforms also correlated well with soil evolution. One of the most surprising facts was that the weathering between south- and north-facing sites differed distinctly, with the north-facing sites having the higher weathering rates. Soil moisture seems to be a decisive factor in weathering. Thicker snow packs probably inhibit or reduce soil frost and allow larger fluxes of snowmelt water to infiltrate into already moist profiles. Slope, exposure and to a lesser extent also the landform determined the soil development: these influences could be analyses serve as a basis for further quantified using regression analyses. These spatio-temporal modeling.</t>
  </si>
  <si>
    <t>Univ Zurich, Dept Geog, CH-8057 Zurich, Switzerland; Univ Wurzburg, Dept Phys Geog, D-97074 Wurzburg, Germany</t>
  </si>
  <si>
    <t>University of Zurich; University of Wurzburg</t>
  </si>
  <si>
    <t>Egli, M (corresponding author), Univ Zurich, Dept Geog, Winterthurerstr 190, CH-8057 Zurich, Switzerland.</t>
  </si>
  <si>
    <t>megli@geo.unizh.ch</t>
  </si>
  <si>
    <t>Egli, Markus/C-3893-2013</t>
  </si>
  <si>
    <t>Egli, Markus/0000-0002-1528-3440</t>
  </si>
  <si>
    <t>10.1657/1523-0430(2006)38[499:MGASDI]2.0.CO;2</t>
  </si>
  <si>
    <t>WOS:000242509200003</t>
  </si>
  <si>
    <t>Egli, M; Wernli, M; Kneisel, C; Biegger, S; Haeberli, W</t>
  </si>
  <si>
    <t>Egli, Markus; Wernli, Michael; Kneisel, Christof; Biegger, Stefan; Haeberli, Wilfried</t>
  </si>
  <si>
    <t>Melting glaciers and soil development in the proglacial area Morteratsch (Swiss Alps): II. Modeling the present and future soil state</t>
  </si>
  <si>
    <t>LANDSCAPE; CHRONOSEQUENCES; GIS</t>
  </si>
  <si>
    <t>Climate change due to anthropogenic emissions of greenhouse gases is predicted to increase the average surface temperature. The most evident soil changes in the Alps will occur in proglacial areas where already existing young soils (with an age in most cases of up to 150 years) will continuously develop and new soils will form due to glacier retreat. Based on existing soil chronosequence data and statistical analyses in the proglacial area Morteratsch (Switzerland), the present-day state of the soils as well as their future development in the next 100 years in the existing and new proglacial area has been modeled taking the retreat of the glacier into consideration. The present-day as well as the future soil distribution was modeled using a probabilistic approach. Several soil characteristics have been modeled such as the pH value, the skeleton content, and the soil depth relevant to plant growth. To model soil properties in a future proglacial area (that is now covered by ice), the glacier-bed morphology had to be modeled. The calculations were performed using the cubic Non-Uniform Rational B-Spline (NURBS) curve to parameterize the course of a branch in flow direction. With the help of the ice cap and relief factor the thickness of the glacier was modeled. Climate change was introduced numerically by changing the mass balance of the glacier. For the area of interest a temperature increase of +1.6 degrees C by the year 2050 and +3 degrees C by the year 2100 can be assumed (according to the scenario A1B of IPCC). In the upper part of the proglacial area mostly Skeletic/Lithic Leptosols and Humi-Skeletic Leptosols will be found. In flat parts close to the main river, additional Fluvisols will develop. A considerable part of the upper proglacial area does not have any soil cover. Lithic/Skeletic to Humi-Skeletic Leptosols are modeled on the young lateral moraines. Chronosequences were vital to make any (413) predictions of soil evolution in the proglacial area. The statistically and probabilistically based model also had, however, its weaknesses. The problems are related to the sediment properties in the glacier bed and the stability of new moraines.</t>
  </si>
  <si>
    <t>10.1657/1523-0430(2006)38[510:MGASDI]2.0.CO;2</t>
  </si>
  <si>
    <t>WOS:000242509200004</t>
  </si>
  <si>
    <t>Gough, LP; Eppinger, RG; Briggs, PH; Giles, S</t>
  </si>
  <si>
    <t>Gough, Larry P.; Eppinger, Robert G.; Briggs, Paul H.; Giles, Stuart</t>
  </si>
  <si>
    <t>Biogeochemical characterization of an undisturbed highly acidic, metal-rich bryophyte habitat, East-Central Alaska, USA</t>
  </si>
  <si>
    <t>MINNESOTA</t>
  </si>
  <si>
    <t>We report on the geochemistry of soil and bryophyte-laden sediment and on the biogeochemistry of willows growing in an undisturbed volcanogenic massive sulfide deposit in the Alaska Range ecoregion of east-central Alaska. We also describe an unusual bryophyte assemblage found growing in the acidic metal-rich waters that drain the area. Ferricrete-cemented silty alluvial sediments within seeps and streams are covered with the liverwort Gymnocolea inflata whereas the mosses Polytrichum commune and P. juniperinum inhabit the area adjacent to the water and within the splash zone. Both the liverwort-encrusted sediment and Polytrichum thalli have high concentrations of major and trace metal cations (e.g., Al, As, Cu, Fe, Hg, La, Mn, Pb, and Zn). Soils in the area do not reflect the geochemical signature of the mineral deposit and we postulate they are influenced by the chemistry of eolian sediments derived from outside the deposit area. The willow, Salix pulchra, growing mostly within and adjacent to the larger streams, has much higher concentrations of Al, As, Cd, Cr, Fe, La, Pb, and Zn when compared to the same species collected in non-mineralized areas of Alaska. The Cd levels are especially high and are shown to exceed, by an order of magnitude, levels demonstrated to be toxic to ptarmigan in Colorado. Willow, growing in this naturally occurring metal-rich Red Mountain alteration zone, may adversely affect the health of browsing animals.</t>
  </si>
  <si>
    <t>US Geol Survey, Natl Ctr, Reston, VA 20192 USA; US Geol Survey, Denver Fed Ctr, Lakewood, CO 80225 USA</t>
  </si>
  <si>
    <t>United States Department of the Interior; United States Geological Survey; United States Department of the Interior; United States Geological Survey</t>
  </si>
  <si>
    <t>Gough, LP (corresponding author), US Geol Survey, Natl Ctr, MS 954, Reston, VA 20192 USA.</t>
  </si>
  <si>
    <t>lgough@usgs.gov; eppinger@usgs.gov; sgiles@usgs.gov</t>
  </si>
  <si>
    <t>10.1657/1523-0430(2006)38[522:BCOAUH]2.0.CO;2</t>
  </si>
  <si>
    <t>WOS:000242509200005</t>
  </si>
  <si>
    <t>Hinkel, KM; Hurd, JK</t>
  </si>
  <si>
    <t>Hinkel, Kenneth M.; Hurd, John K., Jr.</t>
  </si>
  <si>
    <t>Permafrost destabilization and thermokarst following snow fence installation, Barrow, Alaska, USA</t>
  </si>
  <si>
    <t>ARCTIC TUNDRA; ACTIVE LAYER; MANIPULATION; TEMPERATURE; PATTERNS; REGIME</t>
  </si>
  <si>
    <t>In autumn 1997, a 2.2 km-long, 4 m-high snow fence was constructed east of the coastal village of Barrow, Alaska. A large drift develops each winter on the downwind side of the fence, and a smaller drift forms upwind. To monitor the thermal impact on ice-rich permafrost, nine monitoring sites were installed near the fence in 1999 to measure soil temperature at 5, 30, and 50 cm; an additional three sites were located in the undisturbed tundra as a control. Maximum thaw and snow depth were measured annually. The results of the 6-yr study indicates that soil temperatures beneath the drift are 2 to 14 degrees C warmer than the control in winter due to the insulting effects of the snow. Since the drift persists 4 to 8 wk after snow has disappeared from the undisturbed tundra, soil thaw is delayed and soil temperatures in summer are 2 to 3 degrees C cooler than the control. The mean soil temperature over the 6-yr period of record has warmed 2 to 5 degrees C, and the upper permafrost has thawed. The ground surface has experienced 10 to 20 cm of thaw subsidence in many places, and widespread thermokarst is apparent where snow meltwater ponds. Both direct soil warming and the indirect effects of ponding contribute to local permafrost destabilization.</t>
  </si>
  <si>
    <t>Univ Cincinnati, Dept Geog, Cincinnati, OH 45221 USA</t>
  </si>
  <si>
    <t>University System of Ohio; University of Cincinnati</t>
  </si>
  <si>
    <t>Hinkel, KM (corresponding author), Univ Cincinnati, Dept Geog, Cincinnati, OH 45221 USA.</t>
  </si>
  <si>
    <t>Kenneth.Hinkel@uc.edu</t>
  </si>
  <si>
    <t>10.1657/1523-0430(2006)38[530:PDATFS]2.0.CO;2</t>
  </si>
  <si>
    <t>WOS:000242509200006</t>
  </si>
  <si>
    <t>Hinze, A; Pillay, N</t>
  </si>
  <si>
    <t>Hinze, Andrea; Pillay, Neville</t>
  </si>
  <si>
    <t>Life in an African alpine habitat:: Diurnal activity patterns of the ice rat Otomys sloggetti robertsi</t>
  </si>
  <si>
    <t>BEHAVIORAL STRATEGIES; AMBIENT-TEMPERATURE; THERMAL CONDITIONS; COTTON RATS; COLD; COSTS; THERMOREGULATION; MAMMALS; MARTENS; WINTER</t>
  </si>
  <si>
    <t>We studied the diurnal activity patterns of the African ice rat Otomys sloggetti robertsi, a murid rodent endemic to the harsh alpine and sub-alpine habitats of southern Africa. The taxon is poorly adapted physiologically to cold conditions, and we investigated whether the activity of free-living O. s. robertsi is modified by prevailing environmental conditions. O. s. robertsi displayed a bimodal diurnal activity profile in summer, retreating into underground burrows during the middle of the day when ambient temperatures and solar radiation levels were at their highest. In contrast, during winter, O. s. robertsi displayed a unimodal activity profile by spending most of the day foraging aboveground and extending its foraging bouts for about half an hour after sunset. More time was spent foraging than basking in winter compared to summer. Levels of foraging decreased and levels of basking increased during periods of snow cover, although runways beneath the snow could have provided access routes to foraging areas. O. s. robertsi activity is dictated by environmental conditions seasonally, time of the day, and the absence or presence of snow, and the taxon responds to these conditions by trading off between behaviors critical for meeting thermoregulatory requirements.</t>
  </si>
  <si>
    <t>Univ Witwatersrand, Sch Anim Plant &amp; Environm Sci, ZA-2050 Johannesburg, South Africa</t>
  </si>
  <si>
    <t>University of Witwatersrand</t>
  </si>
  <si>
    <t>Hinze, A (corresponding author), Univ Witwatersrand, Sch Anim Plant &amp; Environm Sci, Private Bag 3Wits, ZA-2050 Johannesburg, South Africa.</t>
  </si>
  <si>
    <t>nevillep@biology.biol.wits.ac.za</t>
  </si>
  <si>
    <t>10.1657/1523-0430(2006)38[540:LIAAAH]2.0.CO;2</t>
  </si>
  <si>
    <t>WOS:000242509200007</t>
  </si>
  <si>
    <t>Josberger, EG; Shuchman, RA; Meadows, GA; Savage, S; Payne, J</t>
  </si>
  <si>
    <t>Josberger, Edward G.; Shuchman, Robert A.; Meadows, Guy A.; Savage, Sean; Payne, John</t>
  </si>
  <si>
    <t>Hydrography and circulation of ice-marginal lakes at Bering Glacier, Alaska, USA</t>
  </si>
  <si>
    <t>WATER; GULF; DISCHARGE; TERMINUS; HISTORY; MODEL</t>
  </si>
  <si>
    <t>An extensive suite of physical oceanographic, remotely sensed, and water quality measurements, collected from 2001 through 2004 in two ice-marginal lakes at Bering Glacier, Alaska-Berg Lake and Vitus Lake-show that each has a unique circulation controlled by their specific physical forcing within the glacial system. Conductivity profiles from Berg Lake, perched 135 in a.s.l., show no salt in the lake, but the temperature profiles indicate an apparently unstable situation, the 4 degrees C density maximum is located at 10 m depth, not at the bottom of the lake (90 m depth). Subglacial discharge from the Steller Glacier into the bottom of the lake must inject a suspended sediment load sufficient to marginally stabilize the water column throughout the lake. In Vitus Lake, terminus positions derived from satellite imagery show that the glacier terminus rapidly retreated from 1995 to the present resulting in a substantial expansion of the volume of Vitus Lake. Conductivity and temperature profiles from the tidally influenced Vitus Lake show a complex four-layer system with diluted (similar to 50%) seawater in the bottom of the lake. This lake has a complex vertical structure that is the result of convection generated by ice melting in salt stratification within the lake, and freshwater entering the lake from beneath water, the glacier and surface runoff. Four consecutive years, from 2001 to 2004, of these observations in Vitus Lake show little change in the deep temperature and salinity conditions, indicating limited deep water renewal. The combination of the lake level measurements with discharge measurements, through a tidal cycle, by an acoustic Doppler Current Profiler (ADCP) deployed in the Seal River, which drains the entire Bering system, showed a strong tidal influence but no seawater entry into Vitus Lake. The ADCP measurements combined with lake level measurements established a relationship between lake level and discharge, which when integrated over a tidal cycle, gives a tidally averaged discharge ranging from 1310 to 1510 m(3) s(-1).</t>
  </si>
  <si>
    <t>US Geol Survey, Washington Water Sci Ctr, Tacoma, WA 98402 USA; Altarum Inst, Ann Arbor, MI 48113 USA; Univ Michigan, Dept Naval Architecture &amp; Marine Engn, Ann Arbor, MI 48109 USA; Bur Land Management, Anchorage, AK 99513 USA</t>
  </si>
  <si>
    <t>United States Department of the Interior; United States Geological Survey; University of Michigan System; University of Michigan</t>
  </si>
  <si>
    <t>Josberger, EG (corresponding author), US Geol Survey, Washington Water Sci Ctr, 1201 Pacific Ave,Suite 600, Tacoma, WA 98402 USA.</t>
  </si>
  <si>
    <t>ejosberg@usgs.gov</t>
  </si>
  <si>
    <t>10.1657/1523-0430(2006)38[547:HACOIL]2.0.CO;2</t>
  </si>
  <si>
    <t>WOS:000242509200008</t>
  </si>
  <si>
    <t>Katamura, F; Fukuda, M; Bosikov, NP; Desyatkin, RV; Nakamura, T; Moriizumi, J</t>
  </si>
  <si>
    <t>Katamura, Fumitaka; Fukuda, Masami; Bosikov, Nikolai P.; Desyatkin, Roman V.; Nakamura, Toshio; Moriizumi, Jun</t>
  </si>
  <si>
    <t>Thermokarst formation and vegetation dynamics inferred from a palynological study in Central Yakutia, Eastern Siberia, Russia</t>
  </si>
  <si>
    <t>POLLEN RECORDS; PERMAFROST; CLIMATE; LAKE; STOMATE; HISTORY; FOREST</t>
  </si>
  <si>
    <t>Thermokarst formation and vegetation change in central Yakutia, eastern Siberia, were reconstructed based on newly obtained AMS radiocarbon data and pollen records from four typical thermokarst depressions (alases). Radiocarbon ages of wood fragments, which are good indicators of the development of thermokarst depressions, suggest that they formed during the early Holocene. The result of dating at various locations implies that thermokarst in central Yakutia developed synchronously, at a time that regional paleoclimate records indicate warm and moist conditions prevailed. Major trends in pollen records from the four thermokarst deposits were similar. The predominant vegetation type during the thermokarst active phase was open larch and birch forest with herbaceous taxa. Grassland developed on areas exposed by a decrease in water levels of thermokarst lakes during the late Holocene.</t>
  </si>
  <si>
    <t>Hokkaido Univ, Inst Low Temp Sci, Kita Ku, Sapporo, Hokkaido 0600819, Japan; Russian Acad Sci, Siberian Div, Permafrost Inst, Yakutsk 677010, Russia; Russian Acad Sci, Inst Biol Problems Cryolithozone, Yakutsk 677891, Russia; Nagoya Univ, Ctr Chronol Res, Chikusa Ku, Nagoya, Aichi 4648602, Japan; Nagoya Univ, Grad Sch Engn, Chikusa Ku, Nagoya, Aichi 4648603, Japan</t>
  </si>
  <si>
    <t>Hokkaido University; Melnikov Permafrost Institute, Siberian Branch of the RAS; Russian Academy of Sciences; Russian Academy of Sciences; Institute for Biological Problems of Cryolithozone; Nagoya University; Nagoya University</t>
  </si>
  <si>
    <t>Katamura, F (corresponding author), Hokkaido Univ, Inst Low Temp Sci, Kita Ku, N19 W8, Sapporo, Hokkaido 0600819, Japan.</t>
  </si>
  <si>
    <t>katamura@lowtem.hokudai.ac.jp</t>
  </si>
  <si>
    <t>Roman, Desyatkin/K-5281-2018; MORIIZUMI, JUN/AAA-5915-2021</t>
  </si>
  <si>
    <t>MORIIZUMI, JUN/0000-0002-7576-3147</t>
  </si>
  <si>
    <t>10.1657/1523-0430(2006)38[561:TFAVDI]2.0.CO;2</t>
  </si>
  <si>
    <t>WOS:000242509200009</t>
  </si>
  <si>
    <t>Larsen, J; Bjune, AE; Caballero, ADR</t>
  </si>
  <si>
    <t>Larsen, Jorunn; Bjune, Anne E.; Caballero, Arguitxu de la Riva</t>
  </si>
  <si>
    <t>Holocene environmental and climate history of Trettetjorn, a low-alpine lake in Western Norway, based on subfossil pollen, diatoms, oribatid mites, and plant macrofossils</t>
  </si>
  <si>
    <t>TREE-LINE AREA; KRAKENES LAKE; WINTER-PRECIPITATION; VEGETATION; SEDIMENT; FLUCTUATIONS; ACARI; ACIDIFICATION; ASSEMBLAGES; TEMPERATURE</t>
  </si>
  <si>
    <t>Holocene lake and catchment environmental history and regional climate are reconstructed from lake sediments at Trettetjorn, a small lake situated close to the present-day treeline in western Norway. Sediments began to accumulate in the lake ca. 8575 (+/- 115) cal yr BP. Pollen-inferred mean July temperatures (T-jul) fluctuated below 12 degrees C with two cooler phases ca. 8400 and 8200 cal yr BP. The pollen-inferred annual precipitation (P-ann) was lowest during the early Holocene and varied around 1600 mm yr(-1). At the same time the highest diatom-inferred pH values (6.8) were reconstructed, probably due to input of base cations from the immature catchment soils. Betula pubescens became established around the lake ca. 8270 cal BP, soon followed by Pinus sylvestris. Maximum T-jul of ca. 12.5 degrees C occurred from 7760 to 5200 cal yr BP. The oribatid mite assemblages confirm the vegetation development from semiopen grassland to forest. Inferred T-jul was variable after 5200 cal yr BP and declined markedly around 4175 cal yr BP. At the same time more oceanic conditions are inferred with changes in the vegetation and mite assemblages suggesting the expansion of mires. After ca. 5000 cal yr BP and towards the present, the diatom concentration in the core becomes low and variable, thickness of the valves within the same taxon varies, and sometimes diatom frustules are completely absent from the sediment column. The diatom valve dissolution has affected both the diatom assemblages and the diatom-inferred pH up to the present-day. All proxies suggest that human impact affected the catchment after ca. 2000 cal yr BP followed by more intensive impact after ca. 1555 cal yr BP. The enlargement of the settlement at Upsete during the construction of the Bergen-Oslo railway (1894-1909 AD) is reflected by a charcoal peak and the presence of spheroidal carbonaceous particles coincides with a change in the diatom assemblages.</t>
  </si>
  <si>
    <t>Agder Nat Hist Museum, N-4686 Kristiansand, Norway; Bot Garden, N-4686 Kristiansand, Norway; Univ Bergen, Dept Biol, N-5007 Bergen, Norway; Bjerknes Ctr Climate Res, N-5007 Bergen, Norway</t>
  </si>
  <si>
    <t>University of Bergen; Bjerknes Centre for Climate Research</t>
  </si>
  <si>
    <t>Larsen, J (corresponding author), Agder Nat Hist Museum, Post Box 1887, N-4686 Kristiansand, Norway.</t>
  </si>
  <si>
    <t>Jorunn.Larsen@bio.uib.no</t>
  </si>
  <si>
    <t>Bjune, Anne Elisabeth/0000-0002-4509-0148</t>
  </si>
  <si>
    <t>10.1657/1523-0430(2006)38[571:HEACHO]2.0.CO;2</t>
  </si>
  <si>
    <t>WOS:000242509200010</t>
  </si>
  <si>
    <t>Mong, CE; Vetaas, OR</t>
  </si>
  <si>
    <t>Mong, Christian E.; Vetaas, Ole R.</t>
  </si>
  <si>
    <t>Establishment of Pinus wallichiana on a Himalayan glacier foreland:: Stochastic distribution or safe sites?</t>
  </si>
  <si>
    <t>MOUNT-ST-HELENS; PRIMARY SUCCESSION; SEEDLING ESTABLISHMENT; VEGETATION; WASHINGTON; FOREFRONT; ALASKA; PLANTS; BAY; USA</t>
  </si>
  <si>
    <t>The establishment of tree seedlings in primary succession is thought to occur only after an adequate reserve of nutrients has accumulated in the soil. Individuals of Pinaceae are sometimes reported to grow on very recently deglaciated substrates. This study analyzed the colonization of a glacier foreland by Pinus wallichiana. Physical, chemical, and biotic aspects of potential and observed seedling microsites were analyzed with regression methods and tests for proportions. Microsites with intermediate to hi h moisture levels and alkaline nutrient-poor soils were found to be conducive to seedling establishment. The most recently deglaciated parts of the foreland have soils with little nutrients and high pH. There is a linear change in soil variables from low nutrient content and high pH at the most recently deglaciated parts to more nutrient-rich and neutral toward the pre-neoglacial moraines. Surrounding old-growth forests of Pinus wallichiana shed an abundance of seeds onto the foreland, are able to germinate and grow, and are predominant among the early pioneers, which makes this species an unusual pioneer of primary succession. Colonization by P. wallichiana is not restricted to particular safe sites. Even though individuals look chlorotic and stunted, they grow at near normal rates. Leaf discoloration of seedlings occurs in soils with high pH and low nitrogen content. P. wallichiana is also a canopy dominant on some of the oldest terrains and outside the foreland.</t>
  </si>
  <si>
    <t>Univ Bergen, Dept Biol, N-5007 Bergen, Norway; Univ Bergen, Ctr Dev Studies, N-5015 Bergen, Norway</t>
  </si>
  <si>
    <t>University of Bergen; University of Bergen</t>
  </si>
  <si>
    <t>Mong, CE (corresponding author), Univ Bergen, Dept Biol, Allegaten 41, N-5007 Bergen, Norway.</t>
  </si>
  <si>
    <t>christian.mong@bio.uib.no</t>
  </si>
  <si>
    <t>VETAAS, OLE REIDAR/ABA-7337-2020</t>
  </si>
  <si>
    <t>VETAAS, OLE REIDAR/0000-0002-0185-1128</t>
  </si>
  <si>
    <t>10.1657/1523-0430(2006)38[584:EOPWOA]2.0.CO;2</t>
  </si>
  <si>
    <t>WOS:000242509200011</t>
  </si>
  <si>
    <t>Mueller, DR; Vincent, WF; Jeffries, MO</t>
  </si>
  <si>
    <t>Mueller, Derek R.; Vincent, Warwick F.; Jeffries, Martin O.</t>
  </si>
  <si>
    <t>Environmental gradients, fragmented habitats, and microbiota of a northern ice shelf cryoecosystem, Ellesmere Island, Canada</t>
  </si>
  <si>
    <t>ALGAL COMMUNITIES; NWT; ANTARCTICA; ECOSYSTEMS; DYNAMICS; ECOLOGY; PIGMENT; LAKE</t>
  </si>
  <si>
    <t>Over the course of the last century, the 9000-km(2) Ellesmere Ice Shelf (82-83 degrees N, 64-90 degrees W) fragmented into six main ice shelves now totaling 1043 km(2). This ensemble of thick ice environments lies along the northern coast of Ellesmere Island in the Canadian High Arctic and provides a cryohabitat for microbial communities that occur in association with eolian and glacially entrained sediments on the ice surface. We undertook a comparative analysis of physical, chemical, and biological characteristics of five of the remnant ice shelves including geographic information system (GIS) mapping of ice types. Each of these remnants is a thick (&gt; 20 m) mass of ice with substantial sediment overburden that promotes the formation of oligotrophic meltwaters in the summer. Microbiota occurred in all sampled a continuum of abundance from sparse to loosely cohesive and pigmented microbial mats. Using digital images from over-flight transects we determined that 8% of the combined ice-shelf area was suitable microbial mat habitat, and contained an estimated 34 Gg of organic matter stocks for the entire system. A gradient of increasing chlorophyll a, organic content, and conductivity was found from west to east. This is likely related to the surface ice type (meteoric versus marine) and to the relative availability of sediment. Our results indicate that differences in phototrophic community structure (microalgae and cyanobacterial morphotypes) were associated with different ice and microbial mat types. In addition, the relative abundance of dominant taxa was significantly associated with environmental gradients of conductivity, soluble reactive phosphorus, and nitrate and ammonium concentrations. There were distinct differences between each ice shelf with regards to ice type and sediment availability but no differences in taxonomic richness or diversity, indicating little effect of habitat fragmentation on these community attributes. However, the ensemble of ice shelves that compose this unique cryoecosystem remains vulnerable to habitat attrition and complete loss with ongoing climate warming.</t>
  </si>
  <si>
    <t>Univ Alaska Fairbanks, Inst Geophys, Fairbanks, AK 99775 USA; Univ Laval, Ctr Etud Nord, Ste Foy, PQ G1K 7P4, Canada; Univ Laval, Dept Biol, Ste Foy, PQ G1K 7P4, Canada</t>
  </si>
  <si>
    <t>University of Alaska System; University of Alaska Fairbanks; Laval University; Laval University</t>
  </si>
  <si>
    <t>Mueller, DR (corresponding author), Univ Alaska Fairbanks, Inst Geophys, POB 757320, Fairbanks, AK 99775 USA.</t>
  </si>
  <si>
    <t>derek.mueller@gi.alaska.edu</t>
  </si>
  <si>
    <t>Vincent, Warwick/AAH-6152-2019; Vincent, Warwick F/C-9522-2009</t>
  </si>
  <si>
    <t>Vincent, Warwick/0000-0001-9055-1938; Mueller, Derek/0000-0003-1974-319X</t>
  </si>
  <si>
    <t>10.1657/1523-0430(2006)38[593:EGFHAM]2.0.CO;2</t>
  </si>
  <si>
    <t>WOS:000242509200012</t>
  </si>
  <si>
    <t>Muñoz, AA; Arroyo, MTK</t>
  </si>
  <si>
    <t>Munoz, Alejandro A.; Arroyo, Mary T. K.</t>
  </si>
  <si>
    <t>Pollen limitation and spatial variation of reproductive success in the insect-pollinated shrub Chuquiraga oppositifolia (Asteraceae) in the Chilean Andes</t>
  </si>
  <si>
    <t>HIGH TEMPERATE ANDES; SEED-SET; FRUIT-SET; TELOPEA-SPECIOSISSIMA; PLANT REPRODUCTION; FLOWER VISITATION; BREEDING SYSTEM; FLORAL TRAITS; ALPINE; TIME</t>
  </si>
  <si>
    <t>Low temperatures, short growing seasons, and strong winds, which constrain the abundance and activity of insect pollinators, characterize alpine ecosystems. In northern hemisphere alpine environments, the reproductive output of several insect-pollinated plants has been reported to be pollen-limited. Using a supplemental hand-pollination experiment, we assessed the magnitude of pollen limitation (PL) in the obligate outcrossing insect-pollinated shrub Chuquiraga oppositifolia in the lower alpine scrub vegetation belt in the central Chilean Andes. We also assessed spatial variation in its reproductive success by comparing seed production among three additional sites. Hand-pollination resulted in a two- to three-fold increase in seed output above natural levels, thus demonstrating PL in this species. Nevertheless, percentage seed output remained low, increasing from 2.0 to 5.7%. Seed weight was reduced by 15% in hand-pollinated plants. Seed output was also low in the three additional sites, but did not differ among them, suggesting that low seed output is a spatially widespread phenomenon in this species. Our results, together with previous research, suggest that both pollinator visitation and abiotic resources (soil nutrients) constrain the reproductive output of this shrub. Longer-term research should unravel potential future vegetative and reproductive costs of current-year enhanced reproductive output and determine if PL is a recurrent phenomenon in the Chilean Andes.</t>
  </si>
  <si>
    <t>Univ Chile, Inst Ecol &amp; Biodivers, Santiago, Chile; Univ Concepcion, Dept Bot, Fac Ciencias Nat &amp; Oceanog, Concepcion, Chile; Univ Chile, Lab Sistemat &amp; Ecol Vegetal, Dept Ciencias Ecol, Fac Ciencias, Santiago, Chile</t>
  </si>
  <si>
    <t>Universidad de Chile; Universidad de Concepcion; Universidad de Chile</t>
  </si>
  <si>
    <t>Muñoz, AA (corresponding author), Univ Chile, Inst Ecol &amp; Biodivers, Casilla 653, Santiago, Chile.</t>
  </si>
  <si>
    <t>southern@abello.dic.uchile.cl</t>
  </si>
  <si>
    <t>Reyes, Alejandro/AAD-8445-2022; Muñoz, Alejandro/KBC-8758-2024</t>
  </si>
  <si>
    <t>Reyes, Alejandro/0000-0003-2907-3265;</t>
  </si>
  <si>
    <t>10.1657/1523-0430(2006)38[608:PLASVO]2.0.CO;2</t>
  </si>
  <si>
    <t>WOS:000242509200013</t>
  </si>
  <si>
    <t>Pelfini, M; Leonelli, G; Santilli, M</t>
  </si>
  <si>
    <t>Pelfini, Manuela; Leonelli, Giovanni; Santilli, Maurizio</t>
  </si>
  <si>
    <t>Climatic and environmental influences on mountain pine (Pinus montana Miller) growth in the Central Italian Alps</t>
  </si>
  <si>
    <t>TREE; TIMBERLINE; FOREST</t>
  </si>
  <si>
    <t>In this paper we analyze upright mountain pine (Pinus montana Miller) radial growth responses to climatic and environmental factors in a valley of the Central Italian Alps. This valley is characterized by intense geomorphological dynamics that can mostly be traced back to instability processes and particularly to debris flows. Here, there are also less active areas that allow undisturbed tree growth and permit dendroclimatic research to be performed. The relationship between climatic factors and radial growth in mountain pine was established by Pearson's correlation and response functions using four chronologies. Two were built using trees located on opposite valley slopes; the other two from the valley bottom. One of these last two is constructed with trees growing in areas occasionally affected by sheetfloods. We found that the climate of the summer months has the strongest influence on tree-ring growth: especially May and July mean temperatures and June precipitation. In contrast, the chronology built with trees located in the valley bottom in an area affected by sheetfloods, shows different climate-growth relationships especially concerning summer precipitation. The burial made by silt layers and the more impermeable conditions of the substrate seem to be the main factors regulating tree growth in this area. Comparing this chronology with the reference chronologies, we found that some years with growth anomalies in the disturbed site correspond to debris flow events dated by previous studies in nearby fans. This paper points out the potential use of mountain pine for dendroclimatic reconstruction and the influence of soft slope processes on tree growth.</t>
  </si>
  <si>
    <t>Univ Milan, Dipartimento Sci Terra, Sez Geol &amp; Paleontol, I-20133 Milan, Italy</t>
  </si>
  <si>
    <t>Pelfini, M (corresponding author), Univ Milan, Dipartimento Sci Terra, Sez Geol &amp; Paleontol, Via Mangiagalli 34, I-20133 Milan, Italy.</t>
  </si>
  <si>
    <t>manuela.pelfini@unimi.it</t>
  </si>
  <si>
    <t>Leonelli, Giovanni/0000-0002-1522-1581; Pelfini, Manuela/0000-0002-3258-1511</t>
  </si>
  <si>
    <t>10.1657/1523-0430(2006)38[614:CAEIOM]2.0.CO;2</t>
  </si>
  <si>
    <t>WOS:000242509200014</t>
  </si>
  <si>
    <t>Zalatan, R; Gunn, A; Henry, GHR</t>
  </si>
  <si>
    <t>Zalatan, R.; Gunn, A.; Henry, G. H. R.</t>
  </si>
  <si>
    <t>Long-term abundance patterns of barren-ground caribou using trampling scars on roots of Picea mariana in the Northwest Territories, Canada</t>
  </si>
  <si>
    <t>The aim of this study was to reconstruct population dynamics of barren-ground caribou (Rangifer tarandus groenlandicus) herds from the frequency of trampling scars on tree roots of black spruce (Picea mariana [Mill.] BSP) in the forest-tundra of central Northwest Territories, Canada. Two groups of sites were sampled that roughly corresponded with the migration routes of the Bathurst and Beverly caribou herds. The caribou migrate annually for long distances from the forest to the open tundra in late spring, and return to the forest in the autumn. The scar frequency distribution was determined by careful crossdating and the influence of root age was assessed to account for the increasing underestimation of caribou abundance with the increasing age of the roots. The scar frequency distributions (dated from A.D. 1760 to 2000) from both groups of sites showed similar abundance patterns through time. Caribou numbers were high during the mid-1940s, and 1990s, and were very low during the 1920s, 1950s-1970s, and at the turn of the 21st century. These abundance patterns determined from scar frequencies correlate strongly with data obtained from traditional knowledge of Dogrib elders in the region and animal counts based on aerial photography. The scar frequency distribution developed in this study is the longest proxy record of caribou abundance to date.</t>
  </si>
  <si>
    <t>Univ British Columbia, Dept Geog, Vancouver, BC V6T 1Z2, Canada; Govt NW Terr, Dept Environm &amp; Nat Resources, Yellowknife, NT X1A 3S8, Canada</t>
  </si>
  <si>
    <t>Zalatan, R (corresponding author), Univ British Columbia, Dept Geog, Room 217,1984 W Mall, Vancouver, BC V6T 1Z2, Canada.</t>
  </si>
  <si>
    <t>rzalatan@geog.ubc.ca; Anne_Gunn@gov.nt.ca; ghenry@geog.ubc.ca</t>
  </si>
  <si>
    <t>10.1657/1523-0430(2006)38[624:LAPOBC]2.0.CO;2</t>
  </si>
  <si>
    <t>WOS:000242509200015</t>
  </si>
  <si>
    <t>Zazula, GD; Mathewes, RFW; Harestad, AS</t>
  </si>
  <si>
    <t>Zazula, Grant D.; Mathewes, Rolf W.; Harestad, Alton S.</t>
  </si>
  <si>
    <t>Cache selection by Arctic ground squirrels inhabiting boreal-steppe meadows of southwest Yukon territory, Canada</t>
  </si>
  <si>
    <t>BODY-COMPOSITION; ANNUAL CYCLE; FOOD; PREDATION; HABITAT; PERISHABILITY; REPRODUCTION; PATTERNS; BEHAVIOR; RISK</t>
  </si>
  <si>
    <t>We examined food items cached by arctic ground squirrels (Spermophilus parryii) from boreal-steppe meadows of southwest Yukon Territory, Canada. Caches recovered from two sites are dominated by fruits and seeds of either northern comandra (Geocaulon lividum) or prickly rose (Rosa acicularis). These two taxa are relatively rare in the local flora at the study sites (Site 1: &gt;= 32 available taxa, and Site 2: &gt;= 39 available taxa), suggesting they are selectively cached as preferred items. Cache selectivity may be related to perishability, fruit size/seed abundance, and predation risk. These caches are of significantly different composition than caches from present tundra sites and Pleistocene fossil arctic ground squirrel nests and caches (middens) recovered from central Yukon. These findings suggest that although arctic ground squirrels evolved in open tundra, they can subsist on a variety of cache items and may have the ability to adapt to and select a profitable cache within a variety of boreal and tundra habitats.</t>
  </si>
  <si>
    <t>Simon Fraser Univ, Dept Biol Sci, Burnaby, BC V5A 1S6, Canada</t>
  </si>
  <si>
    <t>Simon Fraser University</t>
  </si>
  <si>
    <t>Zazula, GD (corresponding author), Simon Fraser Univ, Dept Biol Sci, 8888 Univ Dr, Burnaby, BC V5A 1S6, Canada.</t>
  </si>
  <si>
    <t>gdzazula@sfu.ca</t>
  </si>
  <si>
    <t>MATHEWES, ROLF/0000-0001-7637-199X</t>
  </si>
  <si>
    <t>10.1657/1523-0430(2006)38[631:CSBAGS]2.0.CO;2</t>
  </si>
  <si>
    <t>WOS:000242509200016</t>
  </si>
  <si>
    <t>Hill, SL; Murphy, EJ; Reid, K; Trathan, PN; Constable, AJ</t>
  </si>
  <si>
    <t>Hill, S. L.; Murphy, E. J.; Reid, K.; Trathan, P. N.; Constable, A. J.</t>
  </si>
  <si>
    <t>Modelling Southern Ocean ecosystems: krill, the food-web, and the impacts of harvesting</t>
  </si>
  <si>
    <t>BIOLOGICAL REVIEWS</t>
  </si>
  <si>
    <t>ecosystem approach to fisheries; ecosystem model; Southern Ocean; Euphausia superba; food-web effects; model uncertainty; CCAMLR</t>
  </si>
  <si>
    <t>ANTARCTIC FUR SEALS; ICEFISH CHAMPSOCEPHALUS-GUNNARI; CIRCUMPOLAR CURRENT FRONT; TROPHIC-LEVEL PREDATORS; EUPHAUSIA-SUPERBA; SCOTIA SEA; FISHERIES-MANAGEMENT; POPULATION-DYNAMICS; MARINE ECOSYSTEM; ARCTOCEPHALUS-GAZELLA</t>
  </si>
  <si>
    <t>The ecosystem approach to fisheries recognises the interdependence between harvested species and other ecosystem components. It alms to account for the propagation of the effects of harvesting through the food-web. The formulation and evaluation of ecosystem-based management strategies requires reliable models of ecosystem dynamics to predict these effects. The krill-based system in the Southern Ocean was the focus of some of the earliest models exploring such effects. It is also a suitable example for the development of models to support the ecosystem approach to fisheries because it ha a relatively simple food-web structure and progress has been made in developing models of the key species and interactions, some of which has been motivated by the need to develop ecosystem-based management. Antarctic krill, Euphausia superba, is the main target species for the fishery and the main prey of many top predators. It is therefore critical to capture the processes affecting the dynamics and distribution of krill in ecosystem dynamics models. These processes include environmental influences on recruitment and the spatially variable influence of advection. Models must also capture the interactions between krill and its consumers, which are mediated by the spatial structure of the environment. Various models have explored predator-prey population dynamics with simplistic representations of these interactions, while others have focused on specific details of the interactions. There is now a pressing need to develop plausible and practical models of ecosystem dynamics that link processes occurring at these different scales. Many studies have highlighted uncertainties in our understanding of the system, which indicates future priorities in terms of both data collection and developing methods to evaluate the effects of these uncertainties on model predictions. We propose a modelling approach that focuses on harvested species and their monitored consumers and that evaluates model uncertainty by using alternative structures and functional forms in a Monte Carlo framework.</t>
  </si>
  <si>
    <t>British Antarctic Survey, NERC, Cambridge CB3 0ET, England; Australian Dept Environm &amp; Heritage, Australian Antarctic Div, Kingston, Tas 7050, Australia</t>
  </si>
  <si>
    <t>UK Research &amp; Innovation (UKRI); Natural Environment Research Council (NERC); NERC British Antarctic Survey; Australian Antarctic Division</t>
  </si>
  <si>
    <t>Hill, SL (corresponding author), British Antarctic Survey, NERC, Madingley Rd, Cambridge CB3 0ET, England.</t>
  </si>
  <si>
    <t>Simeon, Hill L/B-2307-2008; murphy, eugene/GZL-1620-2022</t>
  </si>
  <si>
    <t>1464-7931</t>
  </si>
  <si>
    <t>1469-185X</t>
  </si>
  <si>
    <t>BIOL REV</t>
  </si>
  <si>
    <t>Biol. Rev.</t>
  </si>
  <si>
    <t>10.1017/S1464793106007123</t>
  </si>
  <si>
    <t>110DL</t>
  </si>
  <si>
    <t>WOS:000242358400006</t>
  </si>
  <si>
    <t>Quiterio, SL; Loyola, J; Almeida, PB; Viviane, V; Arbilla, G</t>
  </si>
  <si>
    <t>Quiterio, S. L.; Loyola, J.; Almeida, P. B., Jr.; Viviane, V.; Arbilla, G.</t>
  </si>
  <si>
    <t>Particulate matter and associated metal levels in a conservation area in the remaining tropical forest of Mata Atlantica, Brazil</t>
  </si>
  <si>
    <t>BULLETIN OF ENVIRONMENTAL CONTAMINATION AND TOXICOLOGY</t>
  </si>
  <si>
    <t>RIO-DE-JANEIRO; ANTARCTIC PENINSULA; LA CORUNA; AEROSOLS; STATION</t>
  </si>
  <si>
    <t>Univ Fed Rio de Janeiro, Dept Chem Phys, BR-21949900 Rio De Janeiro, Brazil; Natl Ctr Soil Res, EMBRAPA, BR-22460000 Rio De Janeiro, Brazil</t>
  </si>
  <si>
    <t>Universidade Federal do Rio de Janeiro</t>
  </si>
  <si>
    <t>Arbilla, G (corresponding author), Univ Fed Rio de Janeiro, Dept Chem Phys, CT,Bldg A,Room 408,Cidade Univ, BR-21949900 Rio De Janeiro, Brazil.</t>
  </si>
  <si>
    <t>Arbilla, Graciela/X-5847-2019; DE SOUZA, SIMONE LORENA Quiterio/HKM-5087-2023</t>
  </si>
  <si>
    <t>Arbilla, Graciela/0000-0001-7732-8336; LORENA QUITERIO DE SOUZA, SIMONE/0000-0002-8988-3465</t>
  </si>
  <si>
    <t>0007-4861</t>
  </si>
  <si>
    <t>B ENVIRON CONTAM TOX</t>
  </si>
  <si>
    <t>Bull. Environ. Contam. Toxicol.</t>
  </si>
  <si>
    <t>10.1007/s00128-006-1112-x</t>
  </si>
  <si>
    <t>Environmental Sciences; Toxicology</t>
  </si>
  <si>
    <t>Environmental Sciences &amp; Ecology; Toxicology</t>
  </si>
  <si>
    <t>116LT</t>
  </si>
  <si>
    <t>WOS:000242805100004</t>
  </si>
  <si>
    <t>Zhou, LY; Li, YS; Jihony, CD; Tan, DJ; Sun, B; Ren, JW; Wei, LJ; Wang, HN</t>
  </si>
  <si>
    <t>Zhou Liya; Li Yuansheng; Jihony Cole-dal; Tan Dejun; Sun Bo; Ren Jiawen; Wei Lijia; Wang Henian</t>
  </si>
  <si>
    <t>A 780-year record of explosive volcanism from DT263 ice core in east Antarctica</t>
  </si>
  <si>
    <t>east Antarctica; ice core; volcanic eruption; nss SO42-</t>
  </si>
  <si>
    <t>LAW DOME; STRATIGRAPHY; STATION; EVENTS; SNOW</t>
  </si>
  <si>
    <t>Ice cores recovered from polar ice sheet received and preserved sulfuric acid fallout from explosive volcanic eruptions. DT263 ice core was retrieved from an east Antarctic location. The ice core is dated using a combination of annual layer counting and volcanic time stratigraphic horizon as 780 years (1215-1996 A.D.). The ice core record demonstrates that during the period of approximately 1460-1800 A.D., the accumulation is sharply lower than the levels prior to and after this period. This period coincides with the most recent neoglacial climatic episode, the Little Ice Age (LIA), that has been found in numerous Northern Hemisphere proxy and historic records. The non-sea-salt SO42- concentrations indicate seventeen volcanic events in DT263 ice core. Compared with those from previous Antarctic ice cores, significant discrepancies are found between these records in relative volcanic flux of several well-known events. The discrepancies among these records may be explained by the differences in surface topography, accumulation rate, snow drift and distribution which highlight the potential impact of local glaciology on ice core volcanic records, analytical techniques used for sulfate measurement, etc. Volcanic eruptions in middle and high southern latitudes affect volcanic records in Antarctic snow more intensively than those in the low latitudes.</t>
  </si>
  <si>
    <t>Polar Res Inst China, Shanghai 200129, Peoples R China; Nanjing Univ, Dept Earth Sci, State Key Lab Mineral Deposits Res, Nanjing 210093, Peoples R China; S Dakota State Univ, Dept Chem &amp; Biochem, Brookings, SD 57007 USA; Chinese Acad Sci, CAREERI, Lab Ice Core &amp; Cold Reg Environm, Lanzhou 730000, Peoples R China</t>
  </si>
  <si>
    <t>Polar Research Institute of China; Nanjing University; South Dakota State University; Chinese Academy of Sciences; Cold &amp; Arid Regions Environmental &amp; Engineering Research Institute, CAS</t>
  </si>
  <si>
    <t>Li, YS (corresponding author), Polar Res Inst China, Shanghai 200129, Peoples R China.</t>
  </si>
  <si>
    <t>lysh@pric.gov.cn</t>
  </si>
  <si>
    <t>周, 丽敏/JEO-3613-2023; Cole-Dai, Jihong/B-2510-2009; Jiawen, Ren/K-7734-2012; Zhou, Li/GSE-4531-2022; Sun, Bo/B-7966-2016</t>
  </si>
  <si>
    <t>Cole-Dai, Jihong/0000-0003-0921-5916;</t>
  </si>
  <si>
    <t>10.1007/s11434-006-2164-3</t>
  </si>
  <si>
    <t>113PG</t>
  </si>
  <si>
    <t>WOS:000242609200015</t>
  </si>
  <si>
    <t>Langematz, U; Kunze, M</t>
  </si>
  <si>
    <t>Langematz, Ulrike; Kunze, Markus</t>
  </si>
  <si>
    <t>An update on dynamical changes in the Arctic and Antarctic stratospheric polar vortices</t>
  </si>
  <si>
    <t>TEMPERATURE; OZONE; TRENDS; VORTEX; RADIOSONDE</t>
  </si>
  <si>
    <t>Dynamical changes in the Arctic and Antarctic lower stratosphere from autumn to spring were analysed using the NCEP/NCAR, ERA40 and FUB stratospheric analyses for three periods: 1979-1999, 1979-2005, and 1965-2005. We found a weakening of the Arctic vortex in winter and a strengthening in spring between 1979/1980 and 1998/1999, with corresponding changes in the zonal mean circulation. The vortex formed earlier in autumn and broke down later in spring. These changes however were statistically not significant due to the high interannual dynamical variability in northern hemisphere (NH) winter and spring and the relatively short time series. In the Antarctic, the vortex formed earlier in autumn, intensified in late spring, and broke down later. The changes of the Antarctic vortex were at all levels and for both autumn and spring transitions larger and more significant than the changes of the Arctic vortex. These changes of the 1980s and early to mid 1990s were however not representative of a long-term change. The dynamically more active winters in the Arctic and Antarctic since 1998/1999 led to an enhanced weakening of the polar vortex in winter, and to a reduction of the polar vortex intensification in spring. As two of the recent Arctic major warmings occurred rather early in winter the polar vortex could recover in late winter and the delay in spring breakdown further increased. In contrast, the increase in Antarctic vortex persistence did no longer appear when including the recent winters due to the dominant impact of the three recent dynamically active Antarctic winters in 2000, 2002, and 2004. The longterm changes of 1965/1966-2005 were smaller in amplitude and partly opposite to the trends since the 1980s. There is no significant long-term change in the Arctic vortex lifetime or spring persistence, while the Antarctic vortex shows a long-term deepening and shift towards later spring transitions. The changes in the stratospheric dynamical situation could be attributed in both hemispheres to changes in the dynamical forcing from the troposphere.</t>
  </si>
  <si>
    <t>Free Univ Berlin, Inst Meteorol, D-12165 Berlin, Germany</t>
  </si>
  <si>
    <t>Free University of Berlin</t>
  </si>
  <si>
    <t>Langematz, U (corresponding author), Free Univ Berlin, Inst Meteorol, Carl-Heinrich-Becker-Weg 6-10, D-12165 Berlin, Germany.</t>
  </si>
  <si>
    <t>Ulrike.Langematz@met.fu-berlin.de; Markus.Kunze@met.fu-berlin.de</t>
  </si>
  <si>
    <t>Kunze, Markus/0000-0002-9608-1823</t>
  </si>
  <si>
    <t>10.1007/s00382-006-0156-2</t>
  </si>
  <si>
    <t>085OP</t>
  </si>
  <si>
    <t>WOS:000240613700006</t>
  </si>
  <si>
    <t>Knotz, S; Boersma, M; Saborowski, R</t>
  </si>
  <si>
    <t>Knotz, Susanna; Boersma, Maarten; Saborowski, Reinhard</t>
  </si>
  <si>
    <t>Microassays for a set of enzymes in individual small marine copepods</t>
  </si>
  <si>
    <t>North Sea copepods; digestive enzymes; fluorogenic substrates; lipid; protein; C/N ratio</t>
  </si>
  <si>
    <t>BIOCHEMICAL-COMPOSITION; ANTARCTIC KRILL; ZOOPLANKTON; CHITOBIASE; BIOMASS; LARVAE</t>
  </si>
  <si>
    <t>Fluorogenic assays for a set of five hydrolytic enzymes involved in digestion and food utilization (alanine and arginine aminopeptidase, lipase/esterase, chitobiase, and beta-glucosidase) were optimized to measure activities of these enzymes in the same extracts of individual small North Sea copepods. The enzyme activities of Acartia clausi, Centropages typicus, Corycaeus anglicus, Paracalanus parvus, and Ternora longicornis showed distinct species specific activity patterns, but also high intra-specific variability. Protein, lipids, carbon and nitrogen (C, N) were determined with micro-scale assays in individual copepods or in batches of 10 to 50 animals. Water soluble protein contents ranged from 16% to 38%, and lipid contents from 2.4% to 5.5% of dry mass. The molar C/N ratios were between 4.1 and 4.5. The presented microassays provide suitable tools for studying physiological reactions of copepods and other small pelagic crustaceans in response to variable environmental conditions. (c) 2006 Elsevier Inc. All rights reserved.</t>
  </si>
  <si>
    <t>Fdn Alfred Wegener Inst Polar &amp; Marine Res, Biol Anstalt Helgoland, D-27483 Helgoland, Germany</t>
  </si>
  <si>
    <t>Knotz, S (corresponding author), Fdn Alfred Wegener Inst Polar &amp; Marine Res, Biol Anstalt Helgoland, POB 180, D-27483 Helgoland, Germany.</t>
  </si>
  <si>
    <t>sknotz@awi-bremerhaven.de</t>
  </si>
  <si>
    <t>Boersma, Maarten/A-5475-2013</t>
  </si>
  <si>
    <t>Boersma, Maarten/0000-0003-1010-026X; Saborowski, Reinhard/0000-0003-0289-6501</t>
  </si>
  <si>
    <t>1531-4332</t>
  </si>
  <si>
    <t>10.1016/j.cbpa.2006.07.019</t>
  </si>
  <si>
    <t>101BB</t>
  </si>
  <si>
    <t>WOS:000241712800016</t>
  </si>
  <si>
    <t>Hawes, TC</t>
  </si>
  <si>
    <t>Hawes, T. C.</t>
  </si>
  <si>
    <t>Re-crystallisation temperature (Trc) in an Antarctic springtail</t>
  </si>
  <si>
    <t>supercooling point; re-crystallisation; nucleation; Collembola; determinism</t>
  </si>
  <si>
    <t>FREEZE-TOLERANT LARVAE; INSECT COLD-HARDINESS; ICE NUCLEATION; MICROARTHROPODS</t>
  </si>
  <si>
    <t>Cryobiologists have traditionally. assumed that the temperature of crystallisation (T-c) or supercooling point (SCP) of a chill-tolerant insect is not a stochastic event, i.e. that it is a biologically meaningful indicator of phenotypic characteristics, be they exogenous influences (e.g. acclimation/acclimatization) or endogenous factors (e.g. life history stage, moult state). Recent work by Wilson et al. (11) has suggested that SCPs - at least in non-biological samples - are more stochastic than previously thought. Here, this question is tested indirectly by the repetitive freezing of individuals of the Antarctic springtail, Cryptopygus antarcticus. The springtails were each supercooled ten times in succession to determine their recrystallisation temperatures (T-rc). SCPs were found to be deterministic i.e. related to their initial T-c. Despite the mortality of re-crystallised samples, 70% showed &lt; 1 degrees C difference between T-c and T-rcI and 95% showed &lt; 5 degrees C difference. T-c and T-rc1 were significantly correlated. Variability in re-crystallisation temperatures is hypothesised to be predominantly the result of differences in nucleator content and changes in body fluid osmolality during the experimental exposures. Factors affecting the relative variability of SCPs are discussed.</t>
  </si>
  <si>
    <t>Univ Birmingham, Dept Biosci, Birmingham B15 2TT, W Midlands, England</t>
  </si>
  <si>
    <t>University of Birmingham</t>
  </si>
  <si>
    <t>Hawes, TC (corresponding author), Univ Birmingham, Dept Biosci, Birmingham B15 2TT, W Midlands, England.</t>
  </si>
  <si>
    <t>tinstone12@hotmail.com</t>
  </si>
  <si>
    <t>NOV-DEC</t>
  </si>
  <si>
    <t>132SA</t>
  </si>
  <si>
    <t>WOS:000243961300001</t>
  </si>
  <si>
    <t>Sorensen, TF; Cheng, CHC; Ramlov, H</t>
  </si>
  <si>
    <t>Sorensen, T. F.; Cheng, C-H. C.; Ramlov, H.</t>
  </si>
  <si>
    <t>Isolation and some characterisation of antifreeze protein from the European eelpout Zoarces viviparus</t>
  </si>
  <si>
    <t>antifreeze proteins; Zoarces viviparus; Zoarcidae; purification; characterisation</t>
  </si>
  <si>
    <t>ANTARCTIC EEL POUT; MACROZOARCES-AMERICANUS; OCEAN POUT; SEA RAVEN; HEMITRIPTERUS-AMERICANUS; MARINE FISH; PEPTIDES; POLYPEPTIDE; ICE; MULTIPLE</t>
  </si>
  <si>
    <t>The European eelpout Zoarces viviparus is a common inhabitant in the coastal areas of the eastern Atlantic Ocean and the Baltic region. At least 3 different antifreeze proteins were purified from Z. viviparus serum but more isoforms are most likely present. Two antifreeze proteins with molecular weights of approx. 6.5-7 kDa were characterised and found to share high similarity to the type III antifreeze proteins found in other members of the family Zoarcidae. The antifreeze activity of Z viviparus antifreeze proteins is concentration dependent and showed a saturation effect when the protein concentration reached 30mg(.)ml(-1) (crude serum) and 8mg(.)ml(-1) (partly purified serum) respectively. Further the antifreeze activity was found to be dependent of the buffer osmolality resulting in increasing thermal hysteresis when buffer osmolality was raised from 0 to 1 M.</t>
  </si>
  <si>
    <t>Roskilde Univ Ctr, Dept Chem &amp; Life Sci, DK-4000 Roskilde, Denmark; Univ Illinois, Dept Anim Biol, Urbana, IL 61801 USA</t>
  </si>
  <si>
    <t>Roskilde University; University of Illinois System; University of Illinois Urbana-Champaign</t>
  </si>
  <si>
    <t>Sorensen, TF (corresponding author), Roskilde Univ Ctr, Dept Chem &amp; Life Sci, DK-4000 Roskilde, Denmark.</t>
  </si>
  <si>
    <t>tfs@ruc.dk</t>
  </si>
  <si>
    <t>Ramlov, Hans/0000-0003-1113-0583</t>
  </si>
  <si>
    <t>WOS:000243961300007</t>
  </si>
  <si>
    <t>Ikeda, T; Yamaguchi, A; Matsuishi, T</t>
  </si>
  <si>
    <t>Ikeda, Tsutomu; Yamaguchi, Atsushi; Matsuishi, Takashi</t>
  </si>
  <si>
    <t>Chemical composition and energy content of deep-sea calanoid copepods in the Western North Pacific Ocean</t>
  </si>
  <si>
    <t>copepods; deep-sea; C and N composition; energy; condition factor index; Western North Pacific</t>
  </si>
  <si>
    <t>GREATER DEPTHS; NARRAGANSETT BAY; ZOOPLANKTON; METABOLISM; COMMUNITY; PLANKTON; BIOMASS; WEIGHT</t>
  </si>
  <si>
    <t>Condition factor index [CFI = 1000 x DW/(PL)(3); DW: dry weight, PL: prosome length], water content, carbon (C), nitrogen (N), ash and energy content were determined on a total of 69 copepod species caught from the mesopelagic (500-1000m), upper-bathypelagic (1000-2000m), lower-bathypelagic (2000-3000m) and abyssopelagic (3000-5000m) zones of the western subarctic Pacific. Resultant data were grouped into these four sampling zones, four developmental stage/sex categories (C4, C5 and C6 females and males), three feeding types (carnivore, detritivore and suspension feeder), or two reaction speed groups by the presence/absence of myelinated sheath enveloping axons (fast and slow reacting species). Zone-structured data showed the overall ranges were 3.8-4.6 mm for PL, 1.6-2.6 mg for DW, 21.4-25.0 for CFI, 75.0-78.6% of wet weight (WW) for water, 51.3-53.7% of DW for C, 7.7-8.8% of DW for N, 6.2-7.0 (by weight) for C/N, 6.9-9.6% of DW for ash and 25.3-27.4 J mg(-1) DW for energy. Among these components, N and ash exhibited significant between-zone differences characterized by gradual decrease downward for the former, and only the upper-bathypelagic zone &gt; abyssopelagic zone for the latter. Stage/sex-structured data showed no significant differences among them, but energy content of C5 was higher than that of C6 females. From the analyses of feeding type-structured data, carnivores were shown to have lower water, N, ash, but higher C, C/N and energy contents than suspension feeders do. Reaction speed-structured data indicated that slow-reacting species have significantly higher water but lower CFL C, N and energy contents than fast-reacting species. Designating these grouping criteria, PL and DW as independent variables, the attributes of these variables to the CFI, chemical composition or energy contents were evaluated by stepwise-multiple regression analysis, showing the most pronounced effect of suspension-feeder, followed by the presence of myelinated sheath, DW, C6 females and the abyssopelagic zone. Further analysis of zone-structured data, by adding epipelagic copepod data from identical thermal habitats (Arctic/Antarctic waters), revealed a more marked decline in N content from the epipelagic zone to the abyssopelagic zone, accompanied by an increase in C/N ratios downward. The decline in N ( = protein or muscle) contents with depth cannot be explained by the visual interactions hypotheses being proposed for the metabolism of pelagic visual predators, but is consistent with the predation-.mediated selection hypothesis for the metabolism of pelagic copepods. (c) 2006 Elsevier Ltd. All rights reserved.</t>
  </si>
  <si>
    <t>Hokkaido Univ, Grad Sch Fisheries Sci, Hakodate, Hokkaido 0410921, Japan</t>
  </si>
  <si>
    <t>Ikeda, T (corresponding author), Hokkaido Univ, Grad Sch Fisheries Sci, Minato Machi, Hakodate, Hokkaido 0410921, Japan.</t>
  </si>
  <si>
    <t>tom@pop.fish.hokudai.ac.jp</t>
  </si>
  <si>
    <t>Yamaguchi, Atsushi/A-8613-2012; MATSUISHI, Takashi Fritz/C-7005-2012</t>
  </si>
  <si>
    <t>Yamaguchi, Atsushi/0000-0002-5646-3608; MATSUISHI, Takashi Fritz/0000-0003-0884-3523</t>
  </si>
  <si>
    <t>10.1016/j.dsr.2006.08.002</t>
  </si>
  <si>
    <t>118GE</t>
  </si>
  <si>
    <t>WOS:000242929600005</t>
  </si>
  <si>
    <t>Van de Vijver, B; Gremmen, N</t>
  </si>
  <si>
    <t>Van de Vijver, Bart; Gremmen, Niek</t>
  </si>
  <si>
    <t>Three new moss-inhabiting diatom species from sub-Antarctic Marion Island</t>
  </si>
  <si>
    <t>DIATOM RESEARCH</t>
  </si>
  <si>
    <t>During a survey of non-marine diatoms from the Marion Island, three new species, Pinnularia thoenii Van de Vijver sp. nov., Gomphonema marionense sp. nov. and Frustulia lebouvieri sp. nov. were recorded. The detailed morphologies of these three species are examined using both light (LM) and scanning electron (SEM) microscopy. Comparisons with similar species are discussed. Ecological information for each of the three species is given.</t>
  </si>
  <si>
    <t>Univ Antwerp, CDE, Dept Biol, Unit Polar Ecol Limnol &amp; Paleobiol, B-2610 Antwerp, Belgium; Data Analyse Ecol, NL-7981 CD Diever, Netherlands</t>
  </si>
  <si>
    <t>University of Antwerp</t>
  </si>
  <si>
    <t>Van de Vijver, B (corresponding author), Natl Bot Garden Belgium, Dept Cryptogamy Bryophyta &amp; Thallophyta, B-1860 Meise, Belgium.</t>
  </si>
  <si>
    <t>vandevijver@br.fgov.be</t>
  </si>
  <si>
    <t>0269-249X</t>
  </si>
  <si>
    <t>2159-8347</t>
  </si>
  <si>
    <t>DIATOM RES</t>
  </si>
  <si>
    <t>Diatom Res.</t>
  </si>
  <si>
    <t>102OT</t>
  </si>
  <si>
    <t>WOS:000241822400014</t>
  </si>
  <si>
    <t>Van de Vijver, B; McBride, P</t>
  </si>
  <si>
    <t>Van de Vijver, Bart; McBride, Patrick</t>
  </si>
  <si>
    <t>Gomphonema isabellae van de Vijver sp nov., a new freshwater diatom species from sub-Antarctic Macquarie Island (southern Pacific Ocean)</t>
  </si>
  <si>
    <t>During a survey of freshwater diatoms from the sub-Antarctic Macquarie Island, a new gomphonemoid diatom was observed. Detailed morphological analysis using both Light and Scanning Electron Microscopy led to the description of Gomphonema isabellae Van de Vijver sp. nov. The results show that this new species belongs to the group of species around Gomphonema acuminatum s.s. Ehrenberg. Preliminary notes on its ecological preferences and the biogeography of the entire G. acuminatum group are presented.</t>
  </si>
  <si>
    <t>Univ Antwerp, Dept Biol, Unit Polar Ecol Limnol &amp; Paleobiol, B-2610 Antwerp, Belgium</t>
  </si>
  <si>
    <t>Van de Vijver, B (corresponding author), Natl Bot Garden Belgium, Dept Bryophytes &amp; Thallophytes, Domein Bouchout, B-1860 Meise, Belgium.</t>
  </si>
  <si>
    <t>WOS:000241822400015</t>
  </si>
  <si>
    <t>Smirnov, VN; Chmel, AE</t>
  </si>
  <si>
    <t>Smirnov, V. N.; Chmel, A. E.</t>
  </si>
  <si>
    <t>Self-similarity and self-organization of drifting ice cover in the Arctic basin</t>
  </si>
  <si>
    <t>DOKLADY EARTH SCIENCES</t>
  </si>
  <si>
    <t>1/F NOISE; SEA-ICE; FRACTURE</t>
  </si>
  <si>
    <t>Russian Acad Sci, Arctic &amp; Antarctic Res Inst, St Petersburg 199397, Russia; Russian Acad Sci, AF Ioffe Physicotech Inst, St Petersburg 194021, Russia</t>
  </si>
  <si>
    <t>Russian Academy of Sciences; Arctic &amp; Antarctic Research Institute; Russian Academy of Sciences; St. Petersburg Scientific Centre of the Russian Academy of Sciences; Ioffe Physical Technical Institute</t>
  </si>
  <si>
    <t>Smirnov, VN (corresponding author), Russian Acad Sci, Arctic &amp; Antarctic Res Inst, Ul Beringa 38, St Petersburg 199397, Russia.</t>
  </si>
  <si>
    <t>smirnov@aari.nw.ru</t>
  </si>
  <si>
    <t>1028-334X</t>
  </si>
  <si>
    <t>DOKL EARTH SCI</t>
  </si>
  <si>
    <t>Dokl. Earth Sci.</t>
  </si>
  <si>
    <t>10.1134/S1028334X06080204</t>
  </si>
  <si>
    <t>155HZ</t>
  </si>
  <si>
    <t>WOS:000245569800020</t>
  </si>
  <si>
    <t>Johst, K; Gutt, J; Wissel, C; Grimm, V</t>
  </si>
  <si>
    <t>Johst, Karin; Gutt, Julian; Wissel, Christian; Grimm, Volker</t>
  </si>
  <si>
    <t>Diversity and disturbances in the antarctic megabenthos: Feasible versus theoretical disturbance ranges</t>
  </si>
  <si>
    <t>ECOSYSTEMS</t>
  </si>
  <si>
    <t>disturbance; diversity; intermediate disturbance hypothesis; succession; iceberg scouring; climate change; Antartic</t>
  </si>
  <si>
    <t>INTERMEDIATE DISTURBANCE; DYNAMIC LANDSCAPES; METAPOPULATION; COMMUNITIES; MAINTENANCE; PERSISTENCE; HYPOTHESIS; PATTERN; IMPACT; ICE</t>
  </si>
  <si>
    <t>The intermediate disturbance hypothesis (IDH) predicts a hump-shaped relationship between regional diversity and the disturbance rate. We tested the IDH for the megabenthos inhabiting the Antarctic sea floor, which is disturbed by iceberg scouring. We used models based on the empirical knowledge of succession to calculate the IDH curve for this system and to extrapolate the presently observable range of the IDH curve to higher and lower disturbance rates. Although the hump-shaped relationship has been found for a purely theoretical (extremely large) disturbance range, within the feasible disturbance range (assumed as realistic in the Antarctic region under climate change), the regional diversity of successional stages due to iceberg scouring strongly decreases with lower disturbance rates but levels off only slowly with higher disturbance rates. The reason is the unevenness in the lifetimes of the successional stages, in that early stages are short-lived whereas late stages are long-lived. With such unevenness, increasing disturbances support the early stages without jeopardizing the later ones. Additionally, we converted this regional diversity of stages to the regional diversity of taxa using a transformation formula based on empirical knowledge of the number and mean abundance of taxa in the particular stages. Our results suggest that a decrease in iceberg scouring due to climate change would be more detrimental to the diversity of the Antarctic megabenthos than an increase.</t>
  </si>
  <si>
    <t>UFZ Helmholtz Ctr Environm Res, Dept Ecol Modeling, D-04301 Leipzig, Germany; Alfred Wegener Inst Polar &amp; Marine Res, D-27568 Bremerhaven, Germany</t>
  </si>
  <si>
    <t>Helmholtz Association; Helmholtz Center for Environmental Research (UFZ); Helmholtz Association; Alfred Wegener Institute, Helmholtz Centre for Polar &amp; Marine Research</t>
  </si>
  <si>
    <t>Johst, K (corresponding author), UFZ Helmholtz Ctr Environm Res, Dept Ecol Modeling, POB 500136, D-04301 Leipzig, Germany.</t>
  </si>
  <si>
    <t>karin.johst@ufz.de</t>
  </si>
  <si>
    <t>Johst, Karin/D-5309-2015</t>
  </si>
  <si>
    <t>Johst, Karin/0000-0003-0798-2361; Gutt, Julian/0000-0003-3773-9370</t>
  </si>
  <si>
    <t>1432-9840</t>
  </si>
  <si>
    <t>1435-0629</t>
  </si>
  <si>
    <t>Ecosystems</t>
  </si>
  <si>
    <t>10.1007/s10021-006-0054-9</t>
  </si>
  <si>
    <t>109UO</t>
  </si>
  <si>
    <t>WOS:000242334600009</t>
  </si>
  <si>
    <t>Sharma, NK; Singh, S; Rai, AK</t>
  </si>
  <si>
    <t>Sharma, Naveen Kumar; Singh, Surendra; Rai, Ashwani K.</t>
  </si>
  <si>
    <t>Diversity and seasonal variation of viable algal particles in the atmosphere of a subtropical city in India</t>
  </si>
  <si>
    <t>ENVIRONMENTAL RESEARCH</t>
  </si>
  <si>
    <t>algae; airborne; diversity; soil- and waterborne; Varanasi city</t>
  </si>
  <si>
    <t>ANTARCTIC TERRESTRIAL ALGAE; AIRBORNE ALGAE; DISPERSAL; AIR; CYANOBACTERIA</t>
  </si>
  <si>
    <t>To characterize the airborne algal diversity in a populous subtropical urban environment, sampling was done at a height of 2.5 m, the normal human breathing zone. Results indicated that airborne algae are the permanent constituent of Varanasi city atmosphere. The nature, composition, and relative ratio of constituting groups differed among sampling sites. Cyanobacteria, possibly due to their broad ecological distribution, dominate the fluctuating climates of subtropical regions such as Varanasi. The majority of the airborne algae were of local origin, indicating short-distance transport of the algae. Soilborne algae constituted the bulk of aeroalgal flora. This might be due to their ability to withstand the dehydrating effect of the atmosphere. Composition of the acroalgal community also exhibited seasonal variation along with the change in climatic condition of the area. Thus, the physiological ability of an algal group to tolerate different types of abiotic stresses and the climatic conditions of the area appeared to be the two major factors responsible for regulating the structure of the aeroalgal community in the air. (c) 2006 Elsevier Inc. All rights reserved.</t>
  </si>
  <si>
    <t>Banaras Hindu Univ, Dept Bot, Varanasi 221005, Uttar Pradesh, India; Jiwaji Univ, Sch Studies Microbiol, Gwalior 474002, India; Post Grad Coll, Dept Bot, Ghazipur 233002, Uttar Pradesh, India</t>
  </si>
  <si>
    <t>Banaras Hindu University (BHU); Jiwaji University Gwalior</t>
  </si>
  <si>
    <t>Rai, AK (corresponding author), Banaras Hindu Univ, Dept Bot, Varanasi 221005, Uttar Pradesh, India.</t>
  </si>
  <si>
    <t>akrai.bhu@gmail.com</t>
  </si>
  <si>
    <t>Sharma, Naveen Kumar/B-2626-2008</t>
  </si>
  <si>
    <t>Rai, Ashwani K/0000-0002-5562-2785</t>
  </si>
  <si>
    <t>ACADEMIC PRESS INC ELSEVIER SCIENCE</t>
  </si>
  <si>
    <t>525 B ST, STE 1900, SAN DIEGO, CA 92101-4495 USA</t>
  </si>
  <si>
    <t>0013-9351</t>
  </si>
  <si>
    <t>ENVIRON RES</t>
  </si>
  <si>
    <t>Environ. Res.</t>
  </si>
  <si>
    <t>10.1016/j.envres.2006.04.003</t>
  </si>
  <si>
    <t>Environmental Sciences; Public, Environmental &amp; Occupational Health</t>
  </si>
  <si>
    <t>Environmental Sciences &amp; Ecology; Public, Environmental &amp; Occupational Health</t>
  </si>
  <si>
    <t>108GM</t>
  </si>
  <si>
    <t>WOS:000242228300001</t>
  </si>
  <si>
    <t>Misic, C; Castellano, M; Ruggieri, N; Povero, P</t>
  </si>
  <si>
    <t>Misic, Cristina; Castellano, Michela; Ruggieri, Nicoletta; Povero, Paolo</t>
  </si>
  <si>
    <t>Dissolved organic matter characterisation and temporal trends in Terra Nova Bay (Ross Sea, Antarctica)</t>
  </si>
  <si>
    <t>ESTUARINE COASTAL AND SHELF SCIENCE</t>
  </si>
  <si>
    <t>dissolved organic matter; abiotic degradation; bacterial degradation; trophic value; coastal zone; Antarctica</t>
  </si>
  <si>
    <t>GROWTH EFFICIENCY; SOLAR-RADIATION; UV-RADIATION; FLUORESCENCE; MARINE; CARBON; BACTERIA; DYNAMICS; PROTEIN; DOC</t>
  </si>
  <si>
    <t>In Terra Nova Bay, a coastal area of the Ross Sea (Antarctica), the dissolved organic matter (DOM) (proteinlike and humiclike) in the seawater from two sampling stations was studied using the synchronous fluorescence technique and the evaluation of the dissolved proteins during the ice-free time lag (approximately four weeks). Moreover, a simple experiment was carried out to assess the DOM consumption by bacteria. At the two sampling stations, we observed changes in the concentrations of the different DOM types over time, related to the phytoplanktonic development (up to 5 mu g l(-1) of chlorophyll-a) and decrease (below 2 mu g l(-1) of chlorophyll-a within 10 days). A significant correlation was observed between the chlorophyll-a and the DOM. The proteinlike signal ranged from maximum values higher than 5 mg F 1 at the beginning of the sampling period to values lower than 2 mg l(-1) at the end. Similarly, the humiclike compounds ranged from the highest values at the beginning (more than 30 mu g l(-1)) to values lower than 20 mu g l(-1) at the end of the sampling time. The dissolved proteins also showed notable changes over time, showing the highest values (more than 0.4 mg l(-1)) during the first days of the sampling period and reduced concentrations (variable, but also below 0.05 mg l(-1)) at the end. Due to the stability of the water column and of the meteorological conditions, we propose major roles for photodestruction and bacterial consumption in the potential disappearance of the DOM. The surface layer photodestruction (calculated extrapolating the rates from previous literature data) might explain the disappearance of 7% of the fluorescent DOM, leaving the predominant role to bacterial consumption. The experimental data confirmed the potential ability of bacteria to transform and/or take up the fluorescent DOM and the dissolved proteins. These results suggest that only a small part of the DOM is available for export during the winter mixing, reducing the role of the coastal Antarctic area in the CO2 sink. (c) 2006 Elsevier Ltd. All rights reserved.</t>
  </si>
  <si>
    <t>Univ Genoa, Dipartimento Studio Terr &amp; Risorse, I-16132 Genoa, Italy</t>
  </si>
  <si>
    <t>University of Genoa</t>
  </si>
  <si>
    <t>Misic, C (corresponding author), Univ Genoa, Dipartimento Studio Terr &amp; Risorse, Cso Europa 26, I-16132 Genoa, Italy.</t>
  </si>
  <si>
    <t>misic@dipteris.unige.it</t>
  </si>
  <si>
    <t>Castellano, Michela/0000-0001-6101-0112; MISIC, CRISTINA/0000-0002-2577-1800</t>
  </si>
  <si>
    <t>0272-7714</t>
  </si>
  <si>
    <t>1096-0015</t>
  </si>
  <si>
    <t>ESTUAR COAST SHELF S</t>
  </si>
  <si>
    <t>Estuar. Coast. Shelf Sci.</t>
  </si>
  <si>
    <t>10.1016/j.ecss.2006.06.024</t>
  </si>
  <si>
    <t>103YS</t>
  </si>
  <si>
    <t>WOS:000241923700006</t>
  </si>
  <si>
    <t>D'Orazio, M; Folco, L; Welten, KC; Caffee, MW; Perchiazzi, N; Rochette, P</t>
  </si>
  <si>
    <t>D'Orazio, Massimo; Folco, Lulgi; Welten, Kees C.; Caffee, Marc W.; Perchiazzi, Natale; Rochette, Pierre</t>
  </si>
  <si>
    <t>Miller Butte 03002: a new rare iron meteorite (IID) from Antarctica</t>
  </si>
  <si>
    <t>EUROPEAN JOURNAL OF MINERALOGY</t>
  </si>
  <si>
    <t>iron meteorites; terrestrial age; cosmogenic nuclides; Antarctica; northern Victoria Land; Miller Butte</t>
  </si>
  <si>
    <t>CHEMICAL CLASSIFICATION; HISTORIES; ORIGIN; BE-10; SITES; AGES</t>
  </si>
  <si>
    <t>The Miller Butte (MIB) 03002 iron meteorite was found during the XIX (2003-2004) Antarctic campaign of the Italian Programma Nazionale delle Ricerche in Antartide (PNRA) in northern Victoria Land (Antarctica). MIB 03002 is classified as a medium octahedrite belonging to the rare IID chemical group, and it is the first IID iron among the 30,000 specimens so far returned from Antarctica. The bulk chemistry of this meteorite indicates that it represents an intermediate member of the differentiation series of IID irons. Polygonal kamacite, shear planes in the Widmanst5tten structure and relies of cross-hatched E-structure indicate that MIB 03002 experienced important shock metamorphism (T &gt;= 700 degrees C and P &gt;= 13 GPa) and post-shock annealing, after primary cooling. With a terrestrial age of similar to 610 ka, MIB 03002 is the oldest meteorite fall in northern Victoria Land so far, and the oldest Antarctic iron found on blue ice. Possible relationships between the old terrestrial age of MIB 03002 and the regional glacial dynamics of the East Antarctic Ice Sheet in northern Victoria Land are also discussed.</t>
  </si>
  <si>
    <t>Univ Pisa, Dipartimento Sci Terra, I-56126 Pisa, Italy; CNR, Ist Geosci &amp; Georisorse, Sez Pisa, I-56124 Pisa, Italy; Museo Nazl Antartide, I-53100 Siena, Italy; Univ Calif Berkeley, Space Sci Lab, Berkeley, CA 94720 USA; Purdue Univ, Dept Phys, W Lafayette, IN 47907 USA; Univ Aix Marseille 3, CNRS, CEREGE, F-13545 Aix En Provence 4, France</t>
  </si>
  <si>
    <t>University of Pisa; Consiglio Nazionale delle Ricerche (CNR); Istituto di Geoscienze e Georisorse (IGG-CNR); University of California System; University of California Berkeley; Purdue University System; Purdue University; Aix-Marseille Universite; Centre National de la Recherche Scientifique (CNRS)</t>
  </si>
  <si>
    <t>D'Orazio, M (corresponding author), Univ Pisa, Dipartimento Sci Terra, I-56126 Pisa, Italy.</t>
  </si>
  <si>
    <t>dorazio@dst.unipi.it</t>
  </si>
  <si>
    <t>Folco, Luigi/AAA-6351-2020; Rochette, Pierre/O-4612-2019; Folco, Luigi/AAB-8586-2021; Perchiazzi, Natale/A-9578-2018</t>
  </si>
  <si>
    <t>Rochette, Pierre/0000-0002-7362-0660; Perchiazzi, Natale/0000-0003-3229-2282; Welten, Kees/0000-0001-8577-6753; D'Orazio, Massimo/0000-0003-1366-3260; Folco, Luigi/0000-0002-7276-3483</t>
  </si>
  <si>
    <t>0935-1221</t>
  </si>
  <si>
    <t>1617-4011</t>
  </si>
  <si>
    <t>EUR J MINERAL</t>
  </si>
  <si>
    <t>Eur. J. Mineral.</t>
  </si>
  <si>
    <t>10.1127/0935-1221/2006/0018-0727</t>
  </si>
  <si>
    <t>Mineralogy</t>
  </si>
  <si>
    <t>121WO</t>
  </si>
  <si>
    <t>WOS:000243187900006</t>
  </si>
  <si>
    <t>Sohlenius, B; Boström, S</t>
  </si>
  <si>
    <t>Sohlenius, B.; Bostrom, S.</t>
  </si>
  <si>
    <t>Patch-dynamics and population structure of nematodes and tardigrades on Antarctic nunataks</t>
  </si>
  <si>
    <t>EUROPEAN JOURNAL OF SOIL BIOLOGY</t>
  </si>
  <si>
    <t>14th International Colloquium on Soil Zoology - Soil Animals and Ecosystems Services</t>
  </si>
  <si>
    <t>AUG 30-SEP 03, 2004</t>
  </si>
  <si>
    <t>Univ Rouen, Mt St Aignan, FRANCE</t>
  </si>
  <si>
    <t>Univ Rouen</t>
  </si>
  <si>
    <t>Antarctic nunataks; competition; moss; nematodes; population structure; predation; rotifers; tardigrades</t>
  </si>
  <si>
    <t>DRONNING-MAUD-LAND; EAST ANTARCTICA; ROTIFERS</t>
  </si>
  <si>
    <t>Assemblages of hydrophilic microfauna (nematodes, rotifers and tardigrades) in moss-cushions from four ice-free mountain peaks (nunataks) in East Antarctica were studied. Nematodes occurred in 64%, tardigrades in 32% and rotifers in 82% of 91 samples taken in moss. No animals were found in 8% of the samples. The differences in occurrence of animals among cushions are probably due to stochastic colonization processes. The structure of nematode populations indicates that they exhibit different developmental stages in the various samples. Competition or predation appears to influence the abundances of coexisting populations. Predation by tardigrades on rotifers might occur, while the nematodes appear to be competitors rather than preys of the tardigrades. (c) 2006 Elsevier Masson SAS. All rights reserved.</t>
  </si>
  <si>
    <t>Swedish Museum Nat Hist, Dept Invertebrate Zool, S-10405 Stockholm, Sweden</t>
  </si>
  <si>
    <t>Swedish Museum of Natural History</t>
  </si>
  <si>
    <t>Sohlenius, B (corresponding author), Swedish Museum Nat Hist, Dept Invertebrate Zool, Box 50007, S-10405 Stockholm, Sweden.</t>
  </si>
  <si>
    <t>bjorn.sohlenius@nrm.se</t>
  </si>
  <si>
    <t>ELSEVIER FRANCE-EDITIONS SCIENTIFIQUES MEDICALES ELSEVIER</t>
  </si>
  <si>
    <t>23 RUE LINOIS, 75724 PARIS, FRANCE</t>
  </si>
  <si>
    <t>1164-5563</t>
  </si>
  <si>
    <t>EUR J SOIL BIOL</t>
  </si>
  <si>
    <t>Eur. J. Soil Biol.</t>
  </si>
  <si>
    <t>S321</t>
  </si>
  <si>
    <t>S325</t>
  </si>
  <si>
    <t>10.1016/j.ejsobi.2006.07.008</t>
  </si>
  <si>
    <t>Ecology; Soil Science</t>
  </si>
  <si>
    <t>Environmental Sciences &amp; Ecology; Agriculture</t>
  </si>
  <si>
    <t>122YP</t>
  </si>
  <si>
    <t>WOS:000243263800047</t>
  </si>
  <si>
    <t>Mohan, R; Verma, K; Mergulhao, LP; Sinha, DK; Shanvas, S; Guptha, MVS</t>
  </si>
  <si>
    <t>Mohan, R.; Verma, K.; Mergulhao, L. P.; Sinha, D. K.; Shanvas, S.; Guptha, M. V. S.</t>
  </si>
  <si>
    <t>Seasonal variation of pteropods from the Western Arabian Sea sediment trap</t>
  </si>
  <si>
    <t>GEO-MARINE LETTERS</t>
  </si>
  <si>
    <t>LATE QUATERNARY PTEROPODS; RED-SEA; CARBONATE PRESERVATION; PLANKTIC FORAMINIFERA; SURFACE TEMPERATURE; CONTINENTAL-SHELF; INDIAN-OCEAN; AQABA ELAT; FLUXES; GULF</t>
  </si>
  <si>
    <t>Sediment trap samples collected from the Western Arabian Sea yielded a rich assemblage of intact and non-living (opaque white) pteropod tests from a water depth of 919 m during January to September 1993. Nine species of pteropods were recorded, all (except one) displaying distinct seasonality in abundance, suggesting their response to changing hydrographical conditions influenced by the summer/winter monsoon cycle. Pteropod fluxes increased during the April-May peak of the intermonsoon, and reached maximum levels in the late phase of the southwest summer monsoon, probably due to the shallowing of the mixed layer depth. This shallowing, coupled with enhanced nutrient availability, provides ideal conditions for pteropod growth, also reflected in corresponding fluctuations in the flux of the foraminifer Globigerina bulloides. Pteropod/planktic foraminifer ratios displayed marked seasonal variations, the values increasing during the warmer months of April and May when planktic foraminiferal fluxes declined. The variation in fluxes of calcium carbonate, organic carbon and biogenic opal show positive correlations with fluxes of pteropods and planktic foraminifers. Calcium carbonate was the main contributor to the total particulate flux, especially during the SW monsoon. In the study area, pteropod flux variations are similar to the other flux patterns, indicating that they, too could be used as a potential tool for palaeoclimatic reconstruction of the recent past.</t>
  </si>
  <si>
    <t>Natl Ctr Antarctic &amp; Ocean Res, Vasco Gama 403804, Goa, India; Banaras Hindu Univ, Dept Geol, Varanasi 221005, Uttar Pradesh, India; Natl Inst Oceanog, Panaji 403004, Goa, India</t>
  </si>
  <si>
    <t>Ministry of Earth Sciences (MoES) - India; National Centre for Polar and Ocean Research (NCPOR); Banaras Hindu University (BHU); Council of Scientific &amp; Industrial Research (CSIR) - India; CSIR - National Institute of Oceanography (NIO)</t>
  </si>
  <si>
    <t>Mohan, R (corresponding author), Natl Ctr Antarctic &amp; Ocean Res, Vasco Gama 403804, Goa, India.</t>
  </si>
  <si>
    <t>0276-0460</t>
  </si>
  <si>
    <t>GEO-MAR LETT</t>
  </si>
  <si>
    <t>Geo-Mar. Lett.</t>
  </si>
  <si>
    <t>10.1007/s00367-006-0035-1</t>
  </si>
  <si>
    <t>094SI</t>
  </si>
  <si>
    <t>WOS:000241258900002</t>
  </si>
  <si>
    <t>Hunter, MA; Riley, TR; Cantrill, DJ; Flowerdew, MJ; Millar, IL</t>
  </si>
  <si>
    <t>Hunter, M. A.; Riley, T. R.; Cantrill, D. J.; Flowerdew, M. J.; Millar, I. L.</t>
  </si>
  <si>
    <t>A new stratigraphy for the Latady Basin, Antarctic Peninsula: Part 1, Ellsworth Land Volcanic Group</t>
  </si>
  <si>
    <t>geochemistry; crustal contamination; rhyolite; basalt; Antarctica; U-Pb</t>
  </si>
  <si>
    <t>PROTO-PACIFIC MARGIN; U-TH-PB; BREAK-UP; GEOCHEMICAL EVIDENCE; SILICIC VOLCANISM; ION-MICROPROBE; MANTLE SOURCES; PALMER LAND; MAGMATISM; GONDWANA</t>
  </si>
  <si>
    <t>The Jurassic Mount Poster Formation of eastern Ellsworth Land, southern Antarctic Peninsula, comprises silicic ignimbrites related to intracontinental rifting of Gondwana. The identification of less voluminous basaltic and sedimentary facies marginal to the silicic deposits has led to a reclassification of the volcanic units into the Ellsworth Land Volcanic Group. This is formally subdivided into two formations: the Mount Poster Formation (silicic ignimbrites), and the Sweeney Formation (basaltic and sedimentary facies). The Mount Poster Formation rhyolites are an intracaldera sequence greater than I kin in thickness. The basaltic and sedimentary facies of the Sweeney Formation are consistent with deposition in a terrestrial setting into, or close to, water. The geochemistry of the Mount Poster Formation is consistent with derivation of the intracaldera rhyolites from a long-lived, upper crustal magma chamber. The basalts of the Sweeney Formation are intermediate between asthenosphere- and lithosphere-derived magmas, with little or no subduction-modified component. The basalt could represent a rare erupted part of the basaltic underplate that acted as the heat source for local generation of the rhyolites. U-Pb ion microprobe zircon geochronology of samples from the Mount Poster Formation yield an average eruption age of 183.4 +/- 1.4 Ma. Analysis of detrital zircons from a Sweeney Formation sandstone suggest a maximum age of deposition of 183 +/- 4 Ma and the two formations are considered coeval. In addition, these ages are coincident with eruption of the Karoo-Ferrar Igneous Province in southern Africa and East Antarctica. Our interpretation of the Ellsworth Land Volcanic Group is consistent with the model that the Jurassic volcanism of Patagonia and the Antarctic Peninsula took place in response to intracontinental extension driven by arrival of a plume in that area.</t>
  </si>
  <si>
    <t>British Antarctic Survey, NERC, Cambridge CB3 0ET, England; Swedish Museum Nat Hist, Dept Palaeobot, S-10405 Stockholm, Sweden; NERC Isotope Geosci Lab, Nottingham NG12 5GG, England</t>
  </si>
  <si>
    <t>UK Research &amp; Innovation (UKRI); Natural Environment Research Council (NERC); NERC British Antarctic Survey; Swedish Museum of Natural History; UK Research &amp; Innovation (UKRI); Natural Environment Research Council (NERC); NERC British Geological Survey</t>
  </si>
  <si>
    <t>Hunter, MA (corresponding author), British Antarctic Survey, NERC, Madingley Rd, Cambridge CB3 0ET, England.</t>
  </si>
  <si>
    <t>MAHU@bas.ac.uk</t>
  </si>
  <si>
    <t>Millar, Ian L/F-1541-2010; Cantrill, David/R-1415-2019</t>
  </si>
  <si>
    <t>Cantrill, David/0000-0002-1185-4015; Riley, Teal/0000-0002-3333-5021; Flowerdew, Michael/0000-0002-9710-2593</t>
  </si>
  <si>
    <t>NERC [bas010006] Funding Source: UKRI; Natural Environment Research Council [bas010006] Funding Source: researchfish</t>
  </si>
  <si>
    <t>10.1017/S0016756806002597</t>
  </si>
  <si>
    <t>115NM</t>
  </si>
  <si>
    <t>WOS:000242741000003</t>
  </si>
  <si>
    <t>Hunter, MA; Cantrill, DJ</t>
  </si>
  <si>
    <t>Hunter, M. A.; Cantrill, D. J.</t>
  </si>
  <si>
    <t>A new stratigraphy for the Latady Basin, Antarctic Peninsula: part 2, Latady Group and basin evolution</t>
  </si>
  <si>
    <t>Antarctica; Jurassic; lithostratigraphy; basin history</t>
  </si>
  <si>
    <t>ELLSWORTH LAND; NEW-ZEALAND; BREAK-UP; AGE; ACCRETION; PALEOGEOGRAPHY; SEDIMENTATION; MAGMATISM; SEQUENCES; VOLCANISM</t>
  </si>
  <si>
    <t>Recent detailed mapping, section logging and an improved understanding of the geological evolution of the Antarctic Peninsula provide a robust framework for an improved lithostratigraphic subdivision of the Latady Basin, eastern Ellsworth Land. Within the Latady Basin we recognize two main groups: Ellsworth Land Volcanic Group and Latady Group. The focus of this paper is the Latady Group, which is formally subdivided into five formations: Anderson Formation, Witte Formation, Hauberg Mountains Formation, Cape Zumberge Formation and Nordsim Formation. Middle Jurassic, shallow marine deposits of the Anderson Formation are overlain by quiet anoxic deposits assigned to the Witte Formation. The start of the Late Jurassic is marked by the deposition of higher energy deposits of the Hauberg Mountains Formation, subdivided into three members (Long Ridge, Mount Hirman and Novocin members) that reflect varying lithological and environmental characteristics. Thermal subsidence during the latest Jurassic led to deposition of the basinal Cape Zumberge Formation, while uplift of an active continental arc along the Antarctic Peninsula led to deposition of the terrestrial Nordsim Formation in the latest Jurassic to earliest Cretaceous. The evolution of the Latady Basin reflects early extension during Gondwana break-up, from the Early Jurassic to earliest Cretaceous, and is consistent with a shift in the underlying forces driving extension in the Weddell Sea area from intracontinental rifting related to a mantle plume, to active margin forces in response to subduction.</t>
  </si>
  <si>
    <t>Swedish Museum Nat Hist, Dept Palaeobot, S-10405 Stockholm, Sweden; British Antarctic Survey, NERC, Cambridge CB3 0ET, England</t>
  </si>
  <si>
    <t>Swedish Museum of Natural History; UK Research &amp; Innovation (UKRI); Natural Environment Research Council (NERC); NERC British Antarctic Survey</t>
  </si>
  <si>
    <t>Cantrill, DJ (corresponding author), Swedish Museum Nat Hist, Dept Palaeobot, Box 50007, S-10405 Stockholm, Sweden.</t>
  </si>
  <si>
    <t>David.Cantrill@nrm.se</t>
  </si>
  <si>
    <t>Cantrill, David/R-1415-2019</t>
  </si>
  <si>
    <t>Cantrill, David/0000-0002-1185-4015</t>
  </si>
  <si>
    <t>10.1017/S0016756806002603</t>
  </si>
  <si>
    <t>WOS:000242741000004</t>
  </si>
  <si>
    <t>Lear, CH; Rosenthal, Y</t>
  </si>
  <si>
    <t>Lear, Caroline H.; Rosenthal, Yair</t>
  </si>
  <si>
    <t>Benthic foraminiferal Li/Ca: Insights into Cenozoic seawater carbonate saturation state</t>
  </si>
  <si>
    <t>lithium; Cenozoic; foraminifera; carbonate compensation</t>
  </si>
  <si>
    <t>CALCIUM-CARBONATE; PLANKTONIC-FORAMINIFERA; DIOXIDE CONCENTRATIONS; ISOTOPE COMPOSITION; DEEP-SEA; COMPENSATION; TEMPERATURE; CLIMATE; LITHIUM; OCEAN</t>
  </si>
  <si>
    <t>Benthic foraminiferal Li/Ca decreases down a Norwegian Sea holothermal depth transect, suggesting that the saturation state of seawater with respect to calcium carbonate influences foraminiferal Li/Ca. Benthic foraminiferal Li/Ca increases by 17% across the glaciation event in the early Oligocene, which likely reflects the increase in seawater saturation state evidenced by the concomitant deepening of the calcite compensation depth. Following the establishment of the Antarctic ice sheet, benthic foraminiferal Li/Ca bears a remarkable resemblance to the estimated oxygen isotopic composition of seawater, suggesting that during this time seawater saturation was largely controlled by glacioeustatically driven changes in shallow-water carbonate accumulation rates.</t>
  </si>
  <si>
    <t>Cardiff Univ, Sch Earth Ocean &amp; Planetary Sci, Cardiff CF10 3YE, Wales; Rutgers State Univ, Inst Marine &amp; Coastal Sci, New Brunswick, NJ 08901 USA; Rutgers State Univ, Dept Geol Sci, New Brunswick, NJ 08901 USA</t>
  </si>
  <si>
    <t>Cardiff University; Rutgers University System; Rutgers University New Brunswick; Rutgers University System; Rutgers University New Brunswick</t>
  </si>
  <si>
    <t>Lear, CH (corresponding author), Cardiff Univ, Sch Earth Ocean &amp; Planetary Sci, Main Bldg, Cardiff CF10 3YE, Wales.</t>
  </si>
  <si>
    <t>Lear, Caroline H/D-2582-2009</t>
  </si>
  <si>
    <t>Lear, Caroline/0000-0002-7533-4430</t>
  </si>
  <si>
    <t>10.1130/G22792A.1</t>
  </si>
  <si>
    <t>100YT</t>
  </si>
  <si>
    <t>WOS:000241706800023</t>
  </si>
  <si>
    <t>Guidarelli, M; Panza, GF</t>
  </si>
  <si>
    <t>Guidarelli, M.; Panza, G. F.</t>
  </si>
  <si>
    <t>Determination of the seismic moment tensor for local events in the South Shetland Islands and Bransfield Strait</t>
  </si>
  <si>
    <t>GEOPHYSICAL JOURNAL INTERNATIONAL</t>
  </si>
  <si>
    <t>Bransfield Strait; earthquake-source mechanism; moment tensor</t>
  </si>
  <si>
    <t>WAVE-FORM INVERSION; SOURCE TIME FUNCTION; SCOTIA SEA REGION; ANTARCTIC PENINSULA; SYNTHETIC SEISMOGRAMS; NOISY RECORDS; TOMOGRAPHY; RETRIEVAL; EARTHQUAKES; RESOLUTION</t>
  </si>
  <si>
    <t>Six events with magnitude between 3 and 5.6 have been analysed based on regional waveforms recorded by the temporal Seismic Experiment in Patagonia and Antarctica seismic broad-band network in the Bransfield Strait and the South Shetland Islands in the period 1997-1998. The source parameters have been retrieved using a robust methodology (INDirect PARametrization) to stabilize the inversion of a limited number of noisy records. This methodology is particularly important in oceanic environments, where the presence of seismic noise and the small number of stations makes it difficult to analyse small magnitude events. The source mechanisms obtained are quite variable but consistent with the active tectonic processes and the complicated structure of the South Shetland Island region.</t>
  </si>
  <si>
    <t>Univ Trieste, Dipartimento Sci Terra, I-34127 Trieste, Italy; Abdus Salam Int Ctr Theoret Phys, SAND Grp, Trieste, Italy</t>
  </si>
  <si>
    <t>University of Trieste; Abdus Salam International Centre for Theoretical Physics (ICTP)</t>
  </si>
  <si>
    <t>Guidarelli, M (corresponding author), Univ Trieste, Dipartimento Sci Terra, Via E Weiss 4, I-34127 Trieste, Italy.</t>
  </si>
  <si>
    <t>mguidar@dst.units.it</t>
  </si>
  <si>
    <t>Giuliano, Panza/0000-0003-3504-3038</t>
  </si>
  <si>
    <t>0956-540X</t>
  </si>
  <si>
    <t>1365-246X</t>
  </si>
  <si>
    <t>GEOPHYS J INT</t>
  </si>
  <si>
    <t>Geophys. J. Int.</t>
  </si>
  <si>
    <t>10.1111/j.1365-246X.2006.02953.x</t>
  </si>
  <si>
    <t>101UR</t>
  </si>
  <si>
    <t>WOS:000241766800021</t>
  </si>
  <si>
    <t>Yoshida, M; Upreti, BN</t>
  </si>
  <si>
    <t>Yoshida, Masaru; Upreti, Bishal N.</t>
  </si>
  <si>
    <t>Neoproterozoic India within East Gondwana: Constraints from recent geochronologic data from Himalaya</t>
  </si>
  <si>
    <t>GONDWANA RESEARCH</t>
  </si>
  <si>
    <t>Himalayan basement; Himalayan geochronology; detrital zircons of Himalaya; East Gondwana assembly; Proterozoic East Gondwana</t>
  </si>
  <si>
    <t>EARLY PALEOZOIC TECTONISM; ALBANY-FRASER OROGEN; MAIN CENTRAL THRUST; ZIRCON AGES; LARSEMANN HILLS; EVOLUTION; NEPAL; ANTARCTICA; ROCKS; HISTORY</t>
  </si>
  <si>
    <t>Recent geochronologic data of detrital zircons and neodymium isotopic signatures of the Himalaya, Arabian-Nubian Shield, and Western Australia-East Antarctica (the Pinjarra Orogen/Circum-East Antarctic Orogen) are assessed to estimate the location of Neoproterozoic basement of the Himalaya. The protolith of the Higher Himalayan Gneisses is considered to have been derived from the Pinjarra Orogen/Circum-East Antarctic Orogen of Western Australia-East Antarctica, and not from the Indian Craton to the south. This conclusion strongly suggests the juxtaposition of the Indian Craton, which forms the basement of the Himalaya, with the Circum-East Antarctic Orogen during the Neoproterozoic when the protolith of the Higher Himalayan Gneisses deposited. (c) 2006 International Association for Gondwana Research. Published by Elsevier B.V. All rights reserved.</t>
  </si>
  <si>
    <t>Gondwana Inst Geol &amp; Environm, Hashimoto 6480091, Japan; Tribhuvan Univ, Dept Geol, Kathmandu, Nepal</t>
  </si>
  <si>
    <t>Tribhuvan University</t>
  </si>
  <si>
    <t>Yoshida, M (corresponding author), Gondwana Inst Geol &amp; Environm, 147-2 Hashiramoto, Hashimoto 6480091, Japan.</t>
  </si>
  <si>
    <t>gondwana@gaia.eonet.ne.jp</t>
  </si>
  <si>
    <t>1342-937X</t>
  </si>
  <si>
    <t>1878-0571</t>
  </si>
  <si>
    <t>GONDWANA RES</t>
  </si>
  <si>
    <t>Gondwana Res.</t>
  </si>
  <si>
    <t>10.1016/j.gr.2006.04.011</t>
  </si>
  <si>
    <t>103PH</t>
  </si>
  <si>
    <t>WOS:000241898700010</t>
  </si>
  <si>
    <t>Klevjer, TA; Kaartvedt, S</t>
  </si>
  <si>
    <t>Klevjer, Thor A.; Kaartvedt, Stein</t>
  </si>
  <si>
    <t>In situ target strength and behaviour of northern krill (Meganyctiphanes norvegica)</t>
  </si>
  <si>
    <t>behaviour; krill; target strength; target tracking</t>
  </si>
  <si>
    <t>WAVE BORN APPROXIMATION; DIEL VERTICAL MIGRATION; SPLIT-BEAM SONAR; ANTARCTIC KRILL; EUPHAUSIA-SUPERBA; ACOUSTIC SCATTERING; SWIMMING BEHAVIOR; SOUND-SCATTERING; BROAD-BANDWIDTH; ZOOPLANKTON</t>
  </si>
  <si>
    <t>Target strengths (TS) of individual krill were measured directly in situ. The study focused on scattering layers consisting mainly of krill, using a submerged echosounder to resolve individual krill at their daylight depths. Individuals. were tracked for extended periods, and the method was capable of discerning differences in TS and behaviour within seemingly homogenous scattering layers. Krill size increased with depth. This was sometimes, but not always, reflected in TS. The relationship between TS and size broke down when larger krill deeper in the water column were prone to more upward swimming than shallow-living specimens, which reduced TS, but there were also unexplained variations in TS by depth. The variability of TS within the krill tracks was generally high, with deviations routinely exceeding 10 dB, further emphasizing the dependence of krill TS on behaviour. Therefore, although measured values of TS were within the ranges previously reported for krill, it was difficult to apply fixed TS-size relationships. The study underscores the need to determine the impact of behaviour on TS, and shows that appropriate methods to do so are now available. (c) 2006 International Council for the Exploration of the Sea. Published by Elsevier Ltd. All rights reserved.</t>
  </si>
  <si>
    <t>Univ Oslo, Dept Biol, N-0316 Oslo, Norway</t>
  </si>
  <si>
    <t>University of Oslo</t>
  </si>
  <si>
    <t>Klevjer, TA (corresponding author), Univ Oslo, Dept Biol, POB 1066, N-0316 Oslo, Norway.</t>
  </si>
  <si>
    <t>t.a.klevjer@bio.uio.no</t>
  </si>
  <si>
    <t>ACADEMIC PRESS LTD ELSEVIER SCIENCE LTD</t>
  </si>
  <si>
    <t>10.1016/j.icesjms.2006.06.013</t>
  </si>
  <si>
    <t>110JR</t>
  </si>
  <si>
    <t>WOS:000242375100016</t>
  </si>
  <si>
    <t>Gudgel, JE</t>
  </si>
  <si>
    <t>Gudgel, John E.</t>
  </si>
  <si>
    <t>E-governance in Antarctica - Internet technology's role in administering a global commons</t>
  </si>
  <si>
    <t>IEEE INTERNET COMPUTING</t>
  </si>
  <si>
    <t>Internet technology is enabling the governance of geographic areas that were once considered beyond human control. Nowhere on Earth is this more evident than in Antarctica, which is a global commons currently governed under the terms of the Antarctic Treaty. With current concerns over global warming and Antarctica's importance as an environmental barometer, the use of Internet technology is increasingly important to assure that this last frontier is monitored and governed for the greater good.</t>
  </si>
  <si>
    <t>McGraw Hill Inc, Washington, DC USA</t>
  </si>
  <si>
    <t>Gudgel, JE (corresponding author), McGraw Hill Inc, Washington, DC USA.</t>
  </si>
  <si>
    <t>jeg2@cox.net</t>
  </si>
  <si>
    <t>1089-7801</t>
  </si>
  <si>
    <t>1941-0131</t>
  </si>
  <si>
    <t>IEEE INTERNET COMPUT</t>
  </si>
  <si>
    <t>IEEE Internet Comput.</t>
  </si>
  <si>
    <t>10.1109/MIC.2006.119</t>
  </si>
  <si>
    <t>Computer Science, Software Engineering</t>
  </si>
  <si>
    <t>103TH</t>
  </si>
  <si>
    <t>WOS:000241909100009</t>
  </si>
  <si>
    <t>Lawson, RP; Baker, BA; Zmarzly, P; O'Connor, D; Mo, QX; Gayet, JF; Shcherbakov, V</t>
  </si>
  <si>
    <t>Lawson, R. Paul; Baker, Brad A.; Zmarzly, Patrick; O'Connor, Darren; Mo, Qixu; Gayet, Jean-Francois; Shcherbakov, Valery</t>
  </si>
  <si>
    <t>Microphysical and optical properties of atmospheric ice crystals at South Pole station</t>
  </si>
  <si>
    <t>JOURNAL OF APPLIED METEOROLOGY AND CLIMATOLOGY</t>
  </si>
  <si>
    <t>CIRRUS CLOUDS; LIGHT-SCATTERING; ANTARCTIC PLATEAU; PARTICLE; NEPHELOMETER; PHASE; CLIMATE; HABITS</t>
  </si>
  <si>
    <t>In early February 2001 (during the austral summer), over 900 000 digital images of ice crystals were recorded at the South Pole using two ground-based cloud particle imagers (CPIs). Of these, 721572 crystals &gt; 50 mu m were classified into crystal habits. When sorted by number, 30% of the crystals were rosette shaped (mixed-habit rosettes, platelike polycrystals, and rosette shapes with side planes), 45% were diamond dust (columns, thick plates, and plates), and 25% were irregular. When sorted by area, rosette shapes comprised 50%, diamond dust 30% and irregular 20%. By mass, the percentages were 57% rosette shapes, 23% diamond dust, and 20% irregular. Particle size distributions as a function of maximum dimension and equivalent radius are compared with previous studies. Particles are generally found to be slightly larger than previous austral wintertime studies. In 2002, a polar nephelometer (PN) that measures scattering phase function was incorporated with one of the CPIs. Correlated measurements between the two instruments showed that 22 degrees and 46 degrees peaks in the phase function were present when diamond dust was recorded by the CPI but not when rosette shapes were present. Visual observations confirmed the presence of 22 degrees and 46 degrees atmospheric halos in some, but not all, of the diamond dust events. No visual halos were observed when rosette shapes were precipitating. Average PN phase functions are presented for diamond dust and rosette shapes. The diamond dust and rosette-shaped ice crystals appear to be very similar in shape to those observed by CPIs in cirrus clouds. Cloud conditions at the South Pole that were associated with various crystal types are discussed, as are some effects of blowing snow.</t>
  </si>
  <si>
    <t>SPEC Inc, Boulder, CO 80301 USA; Univ Clermont Ferrand, CNRS, UMR 6016, Lab Meteorol Phys, Clermont Ferrand, France; Byelarussian Acad Sci, Inst Phys, Minsk 220602, BELARUS</t>
  </si>
  <si>
    <t>SPEC Inc.; Centre National de la Recherche Scientifique (CNRS); CNRS - National Institute for Earth Sciences &amp; Astronomy (INSU); Universite Clermont Auvergne (UCA); National Academy of Sciences of Belarus (NASB); B.I. Stepanov Institute of Physics of the National Academy of Sciences of Belarus</t>
  </si>
  <si>
    <t>Lawson, RP (corresponding author), SPEC Inc, 3022 Sterling Circle,Suite 200, Boulder, CO 80301 USA.</t>
  </si>
  <si>
    <t>plawson@specinc.com</t>
  </si>
  <si>
    <t>1558-8424</t>
  </si>
  <si>
    <t>1558-8432</t>
  </si>
  <si>
    <t>J APPL METEOROL CLIM</t>
  </si>
  <si>
    <t>J. Appl. Meteorol. Climatol.</t>
  </si>
  <si>
    <t>10.1175/JAM2421.1</t>
  </si>
  <si>
    <t>115EG</t>
  </si>
  <si>
    <t>WOS:000242717000004</t>
  </si>
  <si>
    <t>Lo Giudice, A; Michaud, L; de Pascale, D; De Domenico, M; di Prisco, G; Fani, R; Bruni, V</t>
  </si>
  <si>
    <t>Lo Giudice, A.; Michaud, L.; de Pascale, D.; De Domenico, M.; di Prisco, G.; Fani, R.; Bruni, V.</t>
  </si>
  <si>
    <t>Lipolytic activity of Antarctic cold-adapted marine bacteria (Terra Nova Bay, Ross Sea)</t>
  </si>
  <si>
    <t>JOURNAL OF APPLIED MICROBIOLOGY</t>
  </si>
  <si>
    <t>Antarctica; bacterial characterization; cold-adapted bacteria; environmental factors; lipolytic activity</t>
  </si>
  <si>
    <t>GLUTAMATE-DEHYDROGENASES; PSYCHROPHILIC BACTERIUM; CATALYTIC-ACTIVITY; MICROBIAL LIPASES; BIOTECHNOLOGY; ENZYME; ENVIRONMENTS; PURIFICATION; HALOTOLERANT; TEMPERATURE</t>
  </si>
  <si>
    <t>Aims: The aim of this study was to investigate the lipolytic activity of cold-adapted Antarctic marine bacteria and, furthermore, the combined effect of some environmental factors on this enzymatic process. Methods and Results: Strains were assayed for lipolytic activity on a basal medium amended with seven individual fatty acid esters. A significant activity was observed for 148 isolates (95.5% of the total screened). The interactive effect of pH, temperature and NaCl concentration on the substrates was tested for six representative isolates, identified as Pseudoalteromonas, Psychrobacter and Vibrio. Differences between strains according to NaCl and pH tolerances were observed. Only one strain degraded the substrate more efficiently at 4 degrees C than at 15 degrees C. Conclusions: Our findings demonstrate that the lipolytic activity of Antarctic marine bacteria is rather variable, depending on culture conditions, and occurs in a wide range of salt concentration and pH. Significance and Impact of the Study: Isolation and characterization of bacteria that are able to efficiently remove lipids at low temperatures will provide insight into the possibility to use cold-adapted bacteria as a source of exploitable enzymes. Moreover, research on the interactive effects of salt concentration, pH and temperature will be useful to understand the true enzyme potentialities for industrial applications.</t>
  </si>
  <si>
    <t>Univ Messina, Dipartimento Biol Anim &amp; Ecol Marina, I-98166 Messina, Italy; CNR, Ist Biochim Prot, I-80125 Naples, Italy; Univ Florence, Dipartimento Biol Anim &amp; Genet, Florence, Italy</t>
  </si>
  <si>
    <t>University of Messina; Consiglio Nazionale delle Ricerche (CNR); Istituto di Biochimica delle Proteine (IBP-CNR); University of Florence</t>
  </si>
  <si>
    <t>Bruni, V (corresponding author), Univ Messina, Dipartimento Biol Anim &amp; Ecol Marina, Salita Sperone 31, I-98166 Messina, Italy.</t>
  </si>
  <si>
    <t>vivia.bruni@unime.it</t>
  </si>
  <si>
    <t>1364-5072</t>
  </si>
  <si>
    <t>1365-2672</t>
  </si>
  <si>
    <t>J APPL MICROBIOL</t>
  </si>
  <si>
    <t>J. Appl. Microbiol.</t>
  </si>
  <si>
    <t>10.1111/j.1365-2672.2006.03006.x</t>
  </si>
  <si>
    <t>Biotechnology &amp; Applied Microbiology; Microbiology</t>
  </si>
  <si>
    <t>093VT</t>
  </si>
  <si>
    <t>WOS:000241199100009</t>
  </si>
  <si>
    <t>Araujo-Pradere, EA; Fuller-Rowell, TJ; Spencer, PSJ</t>
  </si>
  <si>
    <t>Araujo-Pradere, E. A.; Fuller-Rowell, T. J.; Spencer, P. S. J.</t>
  </si>
  <si>
    <t>Consistent features of TEC changes during ionospheric storms</t>
  </si>
  <si>
    <t>TEC; ionospheric storms; mid latitude ionosphere; ionospheric models</t>
  </si>
  <si>
    <t>INTERNATIONAL REFERENCE IONOSPHERE; ANTARCTIC F-REGION; GEOMAGNETIC STORMS; CORRECTION MODEL; THERMOSPHERE</t>
  </si>
  <si>
    <t>Global position system (GPS) data from the continuously operating reference stations (CORS) network have been used to obtain the ionospheric vertical total electron content (VTEC) values over the continental USA (CONUS), corresponding to a series of 10-day storm periods with good seasonal coverage. The VTEC values have been extracted using the data assimilation algorithm for ionospheric imaging (MAGIC) package, a Kalman filter based code. The storm response of the VTEC was extracted from the data as a ratio to the quiet periods preceding the storms, and sorted as a function of latitude and a storm index defined as the integral, or filtered, a(p) over the previous 33 h. When studying the 10-day periods, consistent features from storm to storm were found, and these features became more apparent when separating the data between the driven phase of the storm, when the integral of a(p) is rising, and the recovery to the storm, when the integral of a(p) is declining. In this paper the results for three storms are highlighted. The driven phase shows, for these storms, a positive phase for the mid latitude region, while the recovery shows a negative phase. The existence of the positive phase over CONUS at the beginning of the storm period appears to be related to the timing of the peak of the perturbation; a positive phase will be observed when the peak of the perturbation occurs near midnight UT. (C) 2006 Elsevier Ltd. All rights reserved.</t>
  </si>
  <si>
    <t>Univ Colorado, CIRES, SEC NOAA, Boulder, CO 80305 USA</t>
  </si>
  <si>
    <t>National Oceanic Atmospheric Admin (NOAA) - USA; University of Colorado System; University of Colorado Boulder</t>
  </si>
  <si>
    <t>Araujo-Pradere, EA (corresponding author), Univ Colorado, CIRES, SEC NOAA, 325 Broadway R-SEC, Boulder, CO 80305 USA.</t>
  </si>
  <si>
    <t>eduardo.araujo@noaa.gov</t>
  </si>
  <si>
    <t>10.1016/j.jastp.2006.06.004</t>
  </si>
  <si>
    <t>112LV</t>
  </si>
  <si>
    <t>WOS:000242528400004</t>
  </si>
  <si>
    <t>Tripathi, OP; Godin-Beekmann, S; Lefèvre, F; Marchand, M; Pazmiño, A; Hauchecorne, A; Goutail, F; Schlager, H; Volk, CM; Johnson, B; König-Langlo, G; Balestri, S; Stroh, F; Bui, TP; Jost, HJ; Deshler, T; von der Gathen, P</t>
  </si>
  <si>
    <t>Tripathi, Om Prakash; Godin-Beekmann, Sophie; Lefevre, Franck; Marchand, Marion; Pazmino, Andrea; Hauchecorne, Alain; Goutail, Florence; Schlager, Hans; Volk, C. Michael; Johnson, B.; Koenig-Langlo, G.; Balestri, Stefano; Stroh, Fred; Bui, T. P.; Jost, H. J.; Deshler, T.; von der Gathen, Peter</t>
  </si>
  <si>
    <t>High resolution simulation of recent Arctic and Antarctic stratospheric chemical ozone loss compared to observations</t>
  </si>
  <si>
    <t>JOURNAL OF ATMOSPHERIC CHEMISTRY</t>
  </si>
  <si>
    <t>comparison with observations; high-resolution 3-D chemical transport model; ozone loss; stratospheric chemistry; polar ozone; sensitivity tests</t>
  </si>
  <si>
    <t>MICROWAVE LIMB SOUNDER; TOTAL REACTIVE NITROGEN; POLAR VORTEX; SATELLITE-OBSERVATIONS; HNO3 OBSERVATIONS; WINTER 1999/2000; DEPLETION; MODEL; DENITRIFICATION; TRANSPORT</t>
  </si>
  <si>
    <t>Simulations of polar ozone losses were performed using the three-dimensional high-resolution (1 degrees x 1 degrees) chemical transport model MIMOSA-CHIM. Three Arctic winters 1999-2000, 2001-2002, 2002-2003 and three Antarctic winters 2001, 2002, and 2003 were considered for the study. The cumulative ozone loss in the Arctic winter 2002-2003 reached around 35% at 475 K inside the vortex, as compared to more than 60% in 1999-2000. During 1999-2000, denitrification induces a maximum of about 23% extra ozone loss at 475 K as compared to 17% in 2002-2003. Unlike these two colder Arctic winters, the 2001-2002 Arctic was warmer and did not experience much ozone loss. Sensitivity tests showed that the chosen resolution of 1 degrees x 1 degrees provides a better evaluation of ozone loss at the edge of the polar vortex in high solar zenith angle conditions. The simulation results for ozone, ClO, HNO3, N2O, and NOy for winters 1999-2000 and 2002-2003 were compared with measurements on board ER-2 and Geophysica aircraft respectively. Sensitivity tests showed that increasing heating rates calculated by the model by 50% and doubling the PSC (Polar Stratospheric Clouds) particle density (from 5 x 10(-3) to 10(-2) cm(-3)) refines the agreement with in situ ozone, N2O and NOy levels. In this configuration, simulated ClO levels are increased and are in better agreement with observations in January but are overestimated by about 20% in March. The use of the Burkholder et al. (1990) Cl2O2 absorption cross-sections slightly increases further ClO levels especially in high solar zenith angle conditions. Comparisons of the modelled ozone values with ozonesonde measurement in the Antarctic winter 2003 and with Polar Ozone and Aerosol Measurement III (POAM III) measurements in the Antarctic winters 2001 and 2002, shows that the simulations underestimate the ozone loss rate at the end of the ozone destruction period. A slightly better agreement is obtained with the use of Burkholder et al. (1990) Cl2O2 absorption cross-sections.</t>
  </si>
  <si>
    <t>CALTECH, NASA, Jet Prop Lab, Table Mt Facil, Wrightwood, CA 92397 USA; Univ Paris 06, Serv Aeron, CNRS, IPSL, F-75252 Paris 05, France; DLR, Inst Atmospher Phys, Oberpfaffenhofen, Germany; Goethe Univ Frankfurt, Inst Atmosphare &amp; Umwelt, D-6000 Frankfurt, Germany; NOAA, Climate Monitoring &amp; Diagnost Lab, Boulder, CO 80305 USA; Alfred Wegener Inst Polar &amp; Marine Res, D-27515 Bremerhaven, Germany; Environm Res &amp; Serv, Sesto Fiorentino, Italy; Forschungszentrum Julich, Inst Chem &amp; Dynam Geosphere ICG1, D-52425 Julich, Germany; NASA, Ames Res Ctr, Moffett Field, CA 94035 USA; Bay Area Environm Res Inst, Sonoma, CA USA; Univ Wyoming, Dept Atmospher Sci, Laramie, WY 82071 USA; Alfred Wegener Inst Polar &amp; Marine Res, Res Dept Potsdam, Potsdam, Germany</t>
  </si>
  <si>
    <t>National Aeronautics &amp; Space Administration (NASA); NASA Jet Propulsion Laboratory (JPL); California Institute of Technology; Centre National de la Recherche Scientifique (CNRS); Sorbonne Universite; Universite Paris Cite; Helmholtz Association; German Aerospace Centre (DLR); Goethe University Frankfurt; National Oceanic Atmospheric Admin (NOAA) - USA; Helmholtz Association; Alfred Wegener Institute, Helmholtz Centre for Polar &amp; Marine Research; Helmholtz Association; Research Center Julich; National Aeronautics &amp; Space Administration (NASA); NASA Ames Research Center; University of Wyoming; Helmholtz Association; Alfred Wegener Institute, Helmholtz Centre for Polar &amp; Marine Research</t>
  </si>
  <si>
    <t>Tripathi, OP (corresponding author), CALTECH, NASA, Jet Prop Lab, Table Mt Facil, 24490 Table Mt Rd,POB 367, Wrightwood, CA 92397 USA.</t>
  </si>
  <si>
    <t>ompraka@aero.jussieu.fr</t>
  </si>
  <si>
    <t>Hauchecorne, Alain/A-8489-2013; von der Gathen, Peter/B-8515-2009; Konig-Langlo, Gert/K-5048-2012; Stroh, Fred/A-6505-2009</t>
  </si>
  <si>
    <t>von der Gathen, Peter/0000-0001-7409-1556; Hauchecorne, Alain/0000-0001-9888-6994; Konig-Langlo, Gert/0000-0002-6100-4107; Stroh, Fred/0000-0002-4492-2977</t>
  </si>
  <si>
    <t>0167-7764</t>
  </si>
  <si>
    <t>1573-0662</t>
  </si>
  <si>
    <t>J ATMOS CHEM</t>
  </si>
  <si>
    <t>J. Atmos. Chem.</t>
  </si>
  <si>
    <t>10.1007/s10874-006-9028-8</t>
  </si>
  <si>
    <t>102FS</t>
  </si>
  <si>
    <t>WOS:000241797000002</t>
  </si>
  <si>
    <t>Sijp, WP; England, MH</t>
  </si>
  <si>
    <t>Sijp, Willem P.; England, Matthew H.</t>
  </si>
  <si>
    <t>Sensitivity of the Atlantic thermohaline circulation and its stability to basin- scale variations in vertical mixing</t>
  </si>
  <si>
    <t>DRAKE PASSAGE; WORLD OCEAN; 2 MODES; TRANSPORT; SALINITY; EXCHANGE</t>
  </si>
  <si>
    <t>This study shows that a reduction in vertical mixing applied inside the Atlantic basin can drastically increase North Atlantic Deep Water (NADW) stability with respect to freshwater perturbations applied to the North Atlantic. This is contrary to the notion that the stability of the ocean's thermohaline circulation simply scales with vertical mixing rates. An Antarctic Intermediate Water (AAIW) reverse cell, reliant upon upwelling of cold AAIW into the Atlantic thermocline, is found to be associated with stable states where NADW is collapsed. Transitions between NADW on and off states are characterized by interhemispheric competition between this AAIW cell and the NADW cell. In contrast to the AAIW reverse cell, NADW eventually upwells outside the Atlantic basin and is thus not as sensitive to changes in vertical mixing within the Atlantic. A reduction in vertical mixing in the Atlantic weakens the AAIW reverse cell, resulting in an enhanced stability of NADW formation. The results also suggest that the AAIW reverse cell is responsible for the stability of NADW collapsed states, and thereby plays a key role in maintaining multiple equilibria in the climate system. A global increase of vertical mixing in the model results in significantly enhanced NADW stability, as found in previous studies. However, an enhancement of vertical mixing applied only inside the Atlantic Ocean results in a reduction of NADW stability. It is concluded that the stability of NADW formation to freshwater perturbations depends critically on the basin-scale distribution of vertical mixing in the world's oceans.</t>
  </si>
  <si>
    <t>Univ New S Wales, Sch Math &amp; Stat, Climate &amp; Environm Dynam Lab, Sydney, NSW 2052, Australia</t>
  </si>
  <si>
    <t>Sijp, WP (corresponding author), Univ New S Wales, Sch Math &amp; Stat, Climate &amp; Environm Dynam Lab, Sydney, NSW 2052, Australia.</t>
  </si>
  <si>
    <t>wsijp@maths.unsw.edu.au</t>
  </si>
  <si>
    <t>Sijp, Willem P/E-5988-2012; England, Matthew/A-7539-2011</t>
  </si>
  <si>
    <t>England, Matthew/0000-0001-9696-2930; Sijp, Willem/0000-0002-5971-3860</t>
  </si>
  <si>
    <t>NOV 1</t>
  </si>
  <si>
    <t>10.1175/JCLI3909.1</t>
  </si>
  <si>
    <t>107II</t>
  </si>
  <si>
    <t>WOS:000242163800001</t>
  </si>
  <si>
    <t>Müller, SA; Joos, F; Edwards, NR; Stocker, TF</t>
  </si>
  <si>
    <t>Muller, S. A.; Joos, F.; Edwards, N. R.; Stocker, T. F.</t>
  </si>
  <si>
    <t>Water mass distribution and ventilation time scales in a cost-efficient, three-dimensional ocean model</t>
  </si>
  <si>
    <t>GENERAL-CIRCULATION MODEL; ANTHROPOGENIC CO2 INVENTORY; ATMOSPHERIC CO2; CARBON-CYCLE; THERMOHALINE CIRCULATION; TRACER DISTRIBUTIONS; CLIMATE MODEL; SYSTEM MODEL; RADIOCARBON; SENSITIVITY</t>
  </si>
  <si>
    <t>A cost-efficient, seasonally forced three-dimensional frictional geostrophic balance ocean model (Bern3D) has been developed that features isopycnal diffusion and Gent-McWilliams transport parameterization, 32 depth layers, and an implicit numerical scheme for the vertical diffusion. It has been tuned toward observed chlorofluorocarbon (CFC-11) inventories and deep ocean radiocarbon signatures to reproduce the ventilation time scales of the thermocline and the deep ocean. Model results are consistent with the observed large-scale distributions of temperature, salinity, natural and bomb-produced radiocarbon, CFC-11, anthropogenic carbon, Ar-39/Ar, and estimates of the meridional heat transport. Root-mean-square errors for the temperature and salinity fields are 1 K and 0.2 psu, comparable to results from the Ocean Carbon-Cycle Model Intercomparison Project. Global inventories of CFC-11 and anthropogenic carbon agree closely with observation-based estimates. Model weaknesses include a too-weak formation and propagation of Antarctic Intermediate Water and of North Atlantic Deep Water. The model has been applied to quantify the recent carbon balance, surface-to-deep transport mechanisms, and the importance of vertical resolution for deep equatorial upwelling. Advection is a dominant surface-to-deep transport mechanism, whereas explicit diapycnal mixing is of little importance for passive tracers and contributes less than 3% to the modeled CFC-11 inventory in the Indo-Pacific. Decreasing the vertical resolution from 32 to 8 layers causes deep equatorial upwelling to increase by more than a factor of 4. Modeled ocean uptake of anthropogenic carbon is 19.7 GtonC over the decade from 1993 to 2003, comparable to an estimate from atmospheric oxygen data of 22.4 +/- 6.1 GtonC.</t>
  </si>
  <si>
    <t>Univ Bern, Inst Phys, Bern, Switzerland</t>
  </si>
  <si>
    <t>Müller, SA (corresponding author), Sidlerstr 5, CH-3012 Bern, Switzerland.</t>
  </si>
  <si>
    <t>smueller@climate.unibe.ch</t>
  </si>
  <si>
    <t>Joos, Fortunat/B-4118-2018; Stocker, Thomas F/B-1273-2013</t>
  </si>
  <si>
    <t>Joos, Fortunat/0000-0002-9483-6030;</t>
  </si>
  <si>
    <t>10.1175/JCLI3911.1</t>
  </si>
  <si>
    <t>WOS:000242163800002</t>
  </si>
  <si>
    <t>Salvucci, ME; DeRidder, BP; Portis, AR</t>
  </si>
  <si>
    <t>Salvucci, Michael E.; DeRidder, Benjamin P.; Portis, Archie R., Jr.</t>
  </si>
  <si>
    <t>Effect of activase level and isoform on the thermotolerance of photosynthesis in Arabidopsis</t>
  </si>
  <si>
    <t>JOURNAL OF EXPERIMENTAL BOTANY</t>
  </si>
  <si>
    <t>carbon metabolism; heat stress; photosynthesis; Rubisco; temperature stress</t>
  </si>
  <si>
    <t>RIBULOSE-1,5-BISPHOSPHATE CARBOXYLASE/OXYGENASE RUBISCO; OXYGENASE ACTIVATION; LEAF TEMPERATURE; ANTISENSE RNA; INHIBITION; INACTIVATION; SENSITIVITY; PLANTS; LIGHT; CARBAMYLATION</t>
  </si>
  <si>
    <t>Ribulose 1,5-bisphosphate carboxylase/oxygenase (Rubisco) activation decreases under moderate heat stress. This decrease is caused by an impairment of activase function, which is exacerbated by faster rates of Rubisco deactivation at elevated temperatures. To determine if stromal oxidation causes inhibition of activase, transgenic Arabidopsis plants expressing suboptimal amounts of either the redox-regulated 46 kDa alpha- or non-redox regulated 43 kDa beta-isoform of activase were examined. Photosynthesis, as measured by gas exchange and chlorophyll fluorescence, and Rubisco activation were inhibited to a much greater extent by moderately high temperatures in the two transgenic lines expressing suboptimal levels of the individual isoforms of activase compared with wild-type plants or transgenic plants expressing levels of the beta-isoform sufficient for wild-type rates of photosynthesis. Net photosynthesis and Rubisco activation in transgenic plants expressing suboptimal amounts of the beta-isoform of activase from the Antarctic hairgrass were even more sensitive to inhibition by moderate heat stress than in the transgenic plants containing Arabidopsis activase. The results demonstrate that photosynthesis exhibits a similar sensitivity to inhibition by moderately high temperature in plants expressing either of the two different isoforms of activase. Thus, impairment of activase function under heat stress is not caused by oxidation of the redox-sensitive sulphydryls of the alpha-isoform of activase. Instead, the results are consistent with thermal denaturation of activase under moderate heat stress, the effects of which on Rubisco activation would be enhanced when activase levels are suboptimal for photosynthesis.</t>
  </si>
  <si>
    <t>USDA ARS, Arid Land Agr Res Ctr, Maricopa, AZ 85239 USA; USDA ARS, Photosynth Res Unit, Urbana, IL 61801 USA</t>
  </si>
  <si>
    <t>United States Department of Agriculture (USDA); United States Department of Agriculture (USDA)</t>
  </si>
  <si>
    <t>Salvucci, ME (corresponding author), USDA ARS, Arid Land Agr Res Ctr, Maricopa, AZ 85239 USA.</t>
  </si>
  <si>
    <t>msalvucci@wcrl.ars.usda.gov</t>
  </si>
  <si>
    <t>0022-0957</t>
  </si>
  <si>
    <t>1460-2431</t>
  </si>
  <si>
    <t>J EXP BOT</t>
  </si>
  <si>
    <t>J. Exp. Bot.</t>
  </si>
  <si>
    <t>10.1093/jxb/erl140</t>
  </si>
  <si>
    <t>108WP</t>
  </si>
  <si>
    <t>WOS:000242270200025</t>
  </si>
  <si>
    <t>Anilkumar, N; Luis, AJ; Somayajulu, YK; Babu, VR; Dash, MK; Pednekar, SM; Babu, KN; Sudhakar, M; Pandey, PC</t>
  </si>
  <si>
    <t>Anilkumar, N.; Luis, Alvarinho J.; Somayajulu, Y. K.; Babu, V. Ramesh; Dash, M. K.; Pednekar, S. M.; Babu, K. N.; Sudhakar, M.; Pandey, P. C.</t>
  </si>
  <si>
    <t>Fronts, water masses and heat content variability in the Western Indian sector of the Southern Ocean during austral summer 2004</t>
  </si>
  <si>
    <t>JOURNAL OF MARINE SYSTEMS</t>
  </si>
  <si>
    <t>oceanic fronts; western Indian sector of the Southern Ocean; heat content; mixed-layer thickness; thermohaline structure; water masses</t>
  </si>
  <si>
    <t>ANTARCTIC CIRCUMPOLAR CURRENT; HYDROGRAPHIC SECTION; THERMOHALINE STRUCTURE; POLAR FRONT; TRANSPORT; TEMPERATURE; CIRCULATION; LOCATION; TASMANIA; AFRICA</t>
  </si>
  <si>
    <t>High density CTD and XBT sections were covered from 35 degrees to 56 degrees S along 45 degrees E and 57 degrees 30'E to investigate the morphology of the main fronts in the southwest Indian Ocean, as a part of the Indian pilot expedition to the Southern Ocean on board ORV Sagar Kanya. Northern branch of the Subtropical Front (NSTF) was observed at similar to 35 degrees 30'S along 45 degrees E. Along 57 degrees 30'E, the signature of the Agulhas Return Front (ARF)+ Subtropical Front (STF) was identified with a rapid decrease in surface temperature between 43 degrees 30' and 45 degrees S and it is located with a southward shift compared to that at 45 degrees E. The Subantarctic Front (SAF) was distinguished as two fronts as northern SAF (SAF1) and southern SAF (SAF2) along both the meridional sections. Polar Front1 (PF1) was identified between 49 degrees and 50 degrees S whereas Polar Front2 (PF2) was identified between 52 degrees and 54 degrees S along 45 degrees E. This study reveals a southward shift of the oceanic fronts (ARF+STF) from west to east, with a maximum southward displacement of &gt; 2 degrees latitude at 57 degrees 30'E. A novel finding of this study is that along 45 degrees E, SAF1 merged with ARF and SSTF and SAF2 similar to 4 degrees latitude southwards from the merged fronts whereas along 57 degrees 30'E, SAF1 was not identified as a merged front with ARF and STF as opposed to earlier studies [Belkin, I.M., Gordon, A.L., 1996. Southern Ocean fronts from the Greenwich Meridian to Tasmania. Journal of Geophysical Research 101, 3675-3696]. The thermocline region was absent south of PF. An enhancement in the mixed layer thickness from 42 degrees to 52 degrees S occurred in association with the strengthening of the wind forcing. Major water masses like Subtropical Surface Water, Subantarctic Surface Water, Mode Water, Antarctic Intermediate Water, Circumpolar Deep Water and Antarctic Bottom Water were identified along 45 degrees E. Upper-ocean heat-content computation revealed a remarkable drop of 989 x 10(7) Jm(-2) at similar to 42 degrees S and 1405 x 10(7) Jm(-2) at similar to 44 degrees S along 45 degrees and 57 degrees 30'E, respectively. We believe that this sudden drop in heat content affects the meridional heat transfer which is crucial to the regional climatic variability. (c) 2006 Elsevier B.V. All rights reserved.</t>
  </si>
  <si>
    <t>Natl Ctr Antarctic &amp; Ocean Res, Vasco Da Gama 403804, Goa, India; Natl Inst Oceanog, Panaji 403004, Goa, India</t>
  </si>
  <si>
    <t>Ministry of Earth Sciences (MoES) - India; National Centre for Polar and Ocean Research (NCPOR); Council of Scientific &amp; Industrial Research (CSIR) - India; CSIR - National Institute of Oceanography (NIO)</t>
  </si>
  <si>
    <t>Anilkumar, N (corresponding author), Natl Ctr Antarctic &amp; Ocean Res, Vasco Da Gama 403804, Goa, India.</t>
  </si>
  <si>
    <t>anil@nraor.org</t>
  </si>
  <si>
    <t>Pandey, Prem Chandra/D-4409-2011; Veligatla, Ramesh Babu/L-1461-2017</t>
  </si>
  <si>
    <t>Pandey, Prem Chandra/0000-0002-0049-1415; Luis, Dr Alvarinho J./0000-0002-3425-8048</t>
  </si>
  <si>
    <t>0924-7963</t>
  </si>
  <si>
    <t>1879-1573</t>
  </si>
  <si>
    <t>J MARINE SYST</t>
  </si>
  <si>
    <t>J. Mar. Syst.</t>
  </si>
  <si>
    <t>10.1016/j.jmarsys.2006.04.009</t>
  </si>
  <si>
    <t>Geosciences, Multidisciplinary; Marine &amp; Freshwater Biology; Oceanography</t>
  </si>
  <si>
    <t>Geology; Marine &amp; Freshwater Biology; Oceanography</t>
  </si>
  <si>
    <t>109OQ</t>
  </si>
  <si>
    <t>WOS:000242318300002</t>
  </si>
  <si>
    <t>Williams, M; Schmidt, DN; Wilkinson, IP; Miller, CG; Taylor, PD</t>
  </si>
  <si>
    <t>Williams, Mark; Schmidt, Daniela N.; Wilkinson, Ian P.; Miller, C. Giles; Taylor, Paul D.</t>
  </si>
  <si>
    <t>The type material of the Miocene to Recent species Globigerinoides sacculifer (Brady) revisited</t>
  </si>
  <si>
    <t>JOURNAL OF MICROPALAEONTOLOGY</t>
  </si>
  <si>
    <t>Neogene; planktonic foraminfera; type material; taxonomy; Papua New Guinea</t>
  </si>
  <si>
    <t>TRILOBUS</t>
  </si>
  <si>
    <t>The detailed test morphology of the type suite of specimens for the planktonic foraminifer Globigerinoides sacculifer (Brady) is illustrated for the first time since the species was identified in 1877. Fossil representatives of this species are a key index for oceanographic reconstruction of the Neogene and Quaternary tropics. The types of G. sacculifer, sourced from a loose 'chalk' block on a beach in New Ireland, Papua New Guinea, all bear a sac-like terminal chamber and are heavily calcified. They have undergone gametogenesis. Scanning electron microscopy identifies calcite fabrics of the test that were formed post-ontogenetically.</t>
  </si>
  <si>
    <t>British Antarctic Survey, Geol Sci Div, Cambridge CB3 0ET, England; Univ Bristol, Dept Earth Sci, Bristol BS8 1RJ, Avon, England; British Geol Survey, Keyworth NG12 5GG, Notts, England; Nat Hist Museum, Dept Palaeontol, London SW7 5BD, England</t>
  </si>
  <si>
    <t>UK Research &amp; Innovation (UKRI); Natural Environment Research Council (NERC); NERC British Antarctic Survey; University of Bristol; UK Research &amp; Innovation (UKRI); Natural Environment Research Council (NERC); NERC British Geological Survey; Natural History Museum London</t>
  </si>
  <si>
    <t>Williams, M (corresponding author), Univ Leicester, Dept Geol, Univ Rd, Leicester LE1 7RH, Leics, England.</t>
  </si>
  <si>
    <t>mri@lc.ac.uk</t>
  </si>
  <si>
    <t>Williams, Mark/B-7590-2009; Miller, Giles/C-5160-2012</t>
  </si>
  <si>
    <t>Williams, Mark/0000-0002-7987-6069; Taylor, Paul/0000-0002-3127-080X; Schmidt, Daniela/0000-0001-8419-2721; Miller, Giles/0000-0001-9111-2136</t>
  </si>
  <si>
    <t>0262-821X</t>
  </si>
  <si>
    <t>J MICROPALAEONTOL</t>
  </si>
  <si>
    <t>J. Micropalaentol.</t>
  </si>
  <si>
    <t>10.1144/jm.25.2.153</t>
  </si>
  <si>
    <t>115JS</t>
  </si>
  <si>
    <t>WOS:000242731200004</t>
  </si>
  <si>
    <t>Hodgson, DA; Roberts, D; McMinn, A; Verleyen, E; Terry, B; Corbett, C; Vyverman, W</t>
  </si>
  <si>
    <t>Hodgson, Dominic A.; Roberts, Donna; McMinn, Andrew; Verleyen, Elie; Terry, Bruce; Corbett, Christine; Vyverman, Wim</t>
  </si>
  <si>
    <t>Recent rapid salinity rise in three East Antarctic lakes</t>
  </si>
  <si>
    <t>JOURNAL OF PALEOLIMNOLOGY</t>
  </si>
  <si>
    <t>Windmill Islands; climate change; palaeolimnology; diatoms; salinity; pigments; penguins</t>
  </si>
  <si>
    <t>WINDMILL-ISLANDS; LARSEMANN HILLS; VESTFOLD HILLS; PALEOSALINITY HISTORY; ENVIRONMENTAL-CHANGE; DIATOM ASSEMBLAGES; RAUER ISLANDS; WILKES LAND; BUDD COAST; ICE-CORE</t>
  </si>
  <si>
    <t>Research in East Antarctica has shown several recent environmental changes that may be linked to human impacts on climate. In order to detect the influence and context of these changes on coastal aquatic ecosystems we examined lake sediment cores from three lakes in the Windmill Islands, East Antarctica; Beall Lake, Holl Lake and 'Lake M'. Cores were sectioned at 2.5 mm intervals. Their diatom species composition was examined to detect changes in lake salinity using a diatom-salinity transfer function, and their algal pigment content was examined to detect photoautotrophic community responses to environmental change. Results showed that Holl Lake originated in a depression exposed by Holocene recession of the continental ice sheet and that Beall Lake and Lake M originated as isolated marine basins formed by changes in relative sea level. A general late Holocene trend of declining lake salinity was evident in all three lakes, interrupted by one short-term high salinity event in Beall Lake. This is consistent with a long-term positive moisture balance. This general decline in salinity has been followed by a remarkable recent rapid increase in salinity in all three lakes in the last few decades. We speculate that this rapid increase in salinity might be linked to changes taking place in the region including feedbacks resulting from decreasing sea ice extent as recorded in the nearby Law Dome ice core, and positive feedbacks in the catchments whereby reduced snow cover has led to decreased albedo, which in turn has caused increased evaporation and sublimation. Collectively these changes have shifted the lakes across a threshold from positive to negative moisture balance. A minor, but not rapid shift in the abundance of diatom pigments relative to pigments from green algae and cyanobacteria was also detected suggesting that some changes in photoautotrophic community composition have occurred. Measurements of modern nutrient levels are also higher than would be expected in Beall Lake and Holl Lake, given the extremely low sediment accumulation rates. This may be associated with a c. 300% increase in the population of Adelie penguins in the Windmill Islands recorded since the 1950s, or may a first signs of a rapid increase in catchment development and associated lake productivity as experienced in Antarctic and Arctic lakes subject to recent rapid regional warming. The most marked feature of the records is the rapid increase in salinity in all three lakes in the last few decades, which has occurred in lakes both with and without resident penguin populations.</t>
  </si>
  <si>
    <t>British Antarctic Survey, NERC, Cambridge CB3 0ET, England; Univ Tasmania, Inst Antarctic &amp; So Ocean Studies, Hobart, Tas 7001, Australia; Univ Ghent, Lab Protistol &amp; Aquat Ecol, B-9000 Ghent, Belgium</t>
  </si>
  <si>
    <t>UK Research &amp; Innovation (UKRI); Natural Environment Research Council (NERC); NERC British Antarctic Survey; University of Tasmania; Ghent University</t>
  </si>
  <si>
    <t>Hodgson, DA (corresponding author), British Antarctic Survey, NERC, Madingley Rd, Cambridge CB3 0ET, England.</t>
  </si>
  <si>
    <t>daho@bas.ac.uk</t>
  </si>
  <si>
    <t>Dasseville, Renaat/B-3561-2010; McMinn, Andrew/A-9910-2008</t>
  </si>
  <si>
    <t>Roberts, Donna/0000-0001-6701-6662</t>
  </si>
  <si>
    <t>0921-2728</t>
  </si>
  <si>
    <t>1573-0417</t>
  </si>
  <si>
    <t>J PALEOLIMNOL</t>
  </si>
  <si>
    <t>J. Paleolimn.</t>
  </si>
  <si>
    <t>10.1007/s10933-006-9010-0</t>
  </si>
  <si>
    <t>Environmental Sciences; Geosciences, Multidisciplinary; Limnology</t>
  </si>
  <si>
    <t>Environmental Sciences &amp; Ecology; Geology; Marine &amp; Freshwater Biology</t>
  </si>
  <si>
    <t>096CX</t>
  </si>
  <si>
    <t>WOS:000241355700004</t>
  </si>
  <si>
    <t>Beal, LM; Chereskin, TK; Lenn, YD; Elipot, S</t>
  </si>
  <si>
    <t>Beal, Lisa M.; Chereskin, Teresa K.; Lenn, Yueng D.; Elipot, Shane</t>
  </si>
  <si>
    <t>The sources and mixing characteristics of the agulhas current</t>
  </si>
  <si>
    <t>ANTARCTIC INTERMEDIATE WATER; GULF-STREAM; PARTICLE EXCHANGE; CIRCULATION; VELOCITY; TRANSPORT</t>
  </si>
  <si>
    <t>Recent observations taken at four principal latitudes in the Agulhas Current show that the watermass properties on either side of its dynamical core are significantly different. Inshore of its velocity core are found waters of predominantly Arabian Sea, Red Sea, and equatorial Indian Ocean origin, while offshore waters are generally from the Atlantic Ocean, the Southern Ocean, and the southeast Indian Ocean. For the most part, the inshore waters approach the Agulhas Current through the Mozambique Channel, while those offshore are circulated within the southern Indian Ocean subtropical gyre before joining the current. These disparate water masses remain distinct during their 1000-km journeys along the South African continental slope, despite the convergence, extreme velocity shears, and high eddy kinetic energies found within the Agulhas Current. Both potential vorticity conservation and kinematic arguments are discussed as potential inhibitors of along-isopycnal mixing. It is concluded that a high cross-stream gradient of potential vorticity is the dominant mechanism for watermass separation near the surface, while the kinematic steering of water particles by the current is dominant at intermediate depths, where cross-stream potential vorticity is homogeneous. Hence, three lateral mixing regimes for the Agulhas Current are suggested. The surface and thermocline waters are always inhibited from mixing, by the presence of both a strong, cross-frontal potential vorticity gradient and kinematic steering. At intermediate depths mixing is inhibited by steering alone, and thus in this regime periodic mixing is expected during meander events (such as Natal pulses), when the steering level will rise and allow cross-frontal exchange. Below the steering level in the deep waters, there is a regime of free lateral mixing. The deep waters of the Agulhas Current are homogeneous in the cross-stream sense, being from the same North Atlantic source, and their salinity steadily (and rather rapidly) decreases to the north. Here, it is suggested that mixing must be dominated by vertical processes and a large vertical mixing coefficient of order 10 cm(2) s(-1) is estimated.</t>
  </si>
  <si>
    <t>Univ Miami, Rosenstiel Sch Marine &amp; Atmospher Sci, Miami, FL 33149 USA; Univ Calif San Diego, Scripps Inst Oceanog, La Jolla, CA 92093 USA</t>
  </si>
  <si>
    <t>University of Miami; University of California System; University of California San Diego; Scripps Institution of Oceanography</t>
  </si>
  <si>
    <t>Beal, LM (corresponding author), Univ Miami, Rosenstiel Sch Marine &amp; Atmospher Sci, 4600 Rickenbacker Causeway, Miami, FL 33149 USA.</t>
  </si>
  <si>
    <t>lbeal@rsmas.miami.edu</t>
  </si>
  <si>
    <t>Lenn, Yueng-Djern/0000-0001-6031-523X; Chereskin, Teresa/0000-0003-1214-0978; Beal, Lisa/0000-0003-3678-5367; Elipot, Shane/0000-0001-6051-5426</t>
  </si>
  <si>
    <t>10.1175/JPO2964.1</t>
  </si>
  <si>
    <t>113SV</t>
  </si>
  <si>
    <t>WOS:000242618500005</t>
  </si>
  <si>
    <t>Dong, SF; Sprintall, J; Gille, ST</t>
  </si>
  <si>
    <t>Dong, Shenfu; Sprintall, Janet; Gille, Sarah T.</t>
  </si>
  <si>
    <t>Location of the antarctic polar front from AMSR-E satellite sea surface temperature measurements</t>
  </si>
  <si>
    <t>SOUTHERN-OCEAN FRONTS; CIRCUMPOLAR CURRENT; DRAKE PASSAGE; BELLINGSHAUSEN SEA; WATER MASSES; MEAN FLOW; WIND; TRANSPORT; VARIABILITY; TASMANIA</t>
  </si>
  <si>
    <t>The location of the Southern Ocean polar front (PF) is mapped from the first 3 yr of remotely sensed Advanced Microwave Scanning Radiometer for the Earth Observing System (AMSR-E) sea surface temperature (SST) measurements. In agreement with previous studies, the mean path of the Antarctic PF and its standard deviation are strongly influenced by bottom topography. However, the mean PF path diverges slightly from previous studies in several regions where there is high mesoscale variability. Although the SST and SST gradient at the PF show spatially coherent seasonal variations, with the highest temperature and the lowest temperature gradient during summer, the seasonal variations in the location of the PF are not spatially coherent. The temporal mean SST at the PF corresponds well to the mean PF path: the temperature is high in the Atlantic and Indian Ocean sections and is low in the Pacific Ocean section where the PF has a more southerly position. The relationship of the wind field with the Antarctic PF location and proxies for the zonal and meridional PF transports are examined statistically. Coherence analysis suggests that the zonal wind stress accelerates the zonal transport of the PF. The analysis presented herein also suggests that the meridional shifts of the Antarctic PF path correspond to the meridional shifts of the wind field.</t>
  </si>
  <si>
    <t>Dong, SF (corresponding author), Univ Calif San Diego, Scripps Inst Oceanog, Mail Code 0230,9500 Gilman Dr, La Jolla, CA 92093 USA.</t>
  </si>
  <si>
    <t>shdong@ucsd.edu</t>
  </si>
  <si>
    <t>Dong, Shenfu/I-4435-2013; Gille, Sarah T./B-3171-2012</t>
  </si>
  <si>
    <t>Dong, Shenfu/0000-0001-8247-8072; Gille, Sarah/0000-0001-9144-4368</t>
  </si>
  <si>
    <t>10.1175/JPO2973.1</t>
  </si>
  <si>
    <t>WOS:000242618500006</t>
  </si>
  <si>
    <t>Khare, N</t>
  </si>
  <si>
    <t>Khare, N.</t>
  </si>
  <si>
    <t>Silver Jubilee Seminar on Antarctic Science: Indian Contributions in Global Perspectives at Goa</t>
  </si>
  <si>
    <t>JOURNAL OF THE GEOLOGICAL SOCIETY OF INDIA</t>
  </si>
  <si>
    <t>Natl Ctr Antarctic &amp; Ocean Res, Vasco Da Gama 403804, Goa, India</t>
  </si>
  <si>
    <t>Khare, N (corresponding author), Natl Ctr Antarctic &amp; Ocean Res, Headland Sada, Vasco Da Gama 403804, Goa, India.</t>
  </si>
  <si>
    <t>nkhare@ncaor.org</t>
  </si>
  <si>
    <t>GEOLOGICAL SOC INDIA</t>
  </si>
  <si>
    <t>#64 12TH CROSS, BASAPPA LAYOUT P B 1922, GAVIPURAM PO, BANGALORE 560019, INDIA</t>
  </si>
  <si>
    <t>0016-7622</t>
  </si>
  <si>
    <t>J GEOL SOC INDIA</t>
  </si>
  <si>
    <t>J. Geol. Soc. India</t>
  </si>
  <si>
    <t>130QG</t>
  </si>
  <si>
    <t>WOS:000243813500021</t>
  </si>
  <si>
    <t>McMahon, CR; Burton, HR; van den Hoff, J; Woods, R; Bradshaw, CJA</t>
  </si>
  <si>
    <t>McMahon, Clive R.; Burton, Harry R.; van den Hoff, John; Woods, Rupert; Bradshaw, Corey J. A.</t>
  </si>
  <si>
    <t>Assessing hot-iron and cryo-branding for permanently marking southern elephant seals</t>
  </si>
  <si>
    <t>JOURNAL OF WILDLIFE MANAGEMENT</t>
  </si>
  <si>
    <t>90th Annual Meeting of the Ecological-Society-of-America/9th International Congress of Ecology</t>
  </si>
  <si>
    <t>AUG, 2005</t>
  </si>
  <si>
    <t>Montreal, CANADA</t>
  </si>
  <si>
    <t>demography; life-history estimates; marking techniques; Mirounga leonina; survival</t>
  </si>
  <si>
    <t>MIROUNGA-LEONINA; MACQUARIE-ISLAND; MARKED ANIMALS; GREY SEALS; TAG LOSS; POPULATIONS; SURVIVAL; PUPS; CONSEQUENCES; TRANSPONDERS</t>
  </si>
  <si>
    <t>Australian Antarctic Div, Kingston, Tas 7050, Australia; Charles Darwin Univ, Inst Adv Studies, Sch Environm Res, Darwin, NT 0909, Australia</t>
  </si>
  <si>
    <t>Australian Antarctic Division; Charles Darwin University</t>
  </si>
  <si>
    <t>McMahon, CR (corresponding author), Australian Antarctic Div, Channel Highway, Kingston, Tas 7050, Australia.</t>
  </si>
  <si>
    <t>john_van@aad.gov.au</t>
  </si>
  <si>
    <t>Bradshaw, Corey J. A./A-1311-2008; McMahon, Clive R/D-5713-2013</t>
  </si>
  <si>
    <t>Bradshaw, Corey J. A./0000-0002-5328-7741; McMahon, Clive R/0000-0001-5241-8917</t>
  </si>
  <si>
    <t>WILDLIFE SOC</t>
  </si>
  <si>
    <t>BETHESDA</t>
  </si>
  <si>
    <t>5410 GROSVENOR LANE, BETHESDA, MD 20814-2197 USA</t>
  </si>
  <si>
    <t>0022-541X</t>
  </si>
  <si>
    <t>J WILDLIFE MANAGE</t>
  </si>
  <si>
    <t>J. Wildl. Manage.</t>
  </si>
  <si>
    <t>10.2193/0022-541X(2006)70[1484:AHACFP]2.0.CO;2</t>
  </si>
  <si>
    <t>Ecology; Zoology</t>
  </si>
  <si>
    <t>Environmental Sciences &amp; Ecology; Zoology</t>
  </si>
  <si>
    <t>118HJ</t>
  </si>
  <si>
    <t>WOS:000242932700038</t>
  </si>
  <si>
    <t>Atwater-Singer, M</t>
  </si>
  <si>
    <t>Atwater-Singer, Margaret</t>
  </si>
  <si>
    <t>Scott of the Antarctic: A life of courage and tragedy.</t>
  </si>
  <si>
    <t>LIBRARY JOURNAL</t>
  </si>
  <si>
    <t>Univ Evansville Lib, Evansville, IN 47722 USA</t>
  </si>
  <si>
    <t>University of Evansville</t>
  </si>
  <si>
    <t>Atwater-Singer, M (corresponding author), Univ Evansville Lib, Evansville, IN 47722 USA.</t>
  </si>
  <si>
    <t>REED BUSINESS INFORMATION</t>
  </si>
  <si>
    <t>360 PARK AVENUE SOUTH, NEW YORK, NY 10010 USA</t>
  </si>
  <si>
    <t>0363-0277</t>
  </si>
  <si>
    <t>LIBR J</t>
  </si>
  <si>
    <t>Libr. J.</t>
  </si>
  <si>
    <t>Information Science &amp; Library Science</t>
  </si>
  <si>
    <t>099JQ</t>
  </si>
  <si>
    <t>WOS:000241590500129</t>
  </si>
  <si>
    <t>Christner, BC; Royston-Bishop, G; Foreman, CM; Arnold, BR; Tranter, M; Welch, KA; Lyons, WB; Tsapin, AI; Studinger, M; Priscu, JC</t>
  </si>
  <si>
    <t>Christner, Brent C.; Royston-Bishop, George; Foreman, Christine M.; Arnold, Brianna R.; Tranter, Martyn; Welch, Kathleen A.; Lyons, W. Berry; Tsapin, Alexandre I.; Studinger, Michael; Priscu, John C.</t>
  </si>
  <si>
    <t>Limnological conditions in Subglacial Lake Vostok, Antarctica</t>
  </si>
  <si>
    <t>PHYLOGENETIC ANALYSIS; WATER EXCHANGE; ACCRETED ICE; AMINO-ACIDS; BACTERIOPLANKTON; COMMUNITY; BED; REDUCTION; BACTERIA; CULTURES</t>
  </si>
  <si>
    <t>Subglacial Lake Vostok is located similar to 4 km beneath the surface of the East Antarctic lee Sheet and has been isolated from the atmosphere for &gt; 15 million yr. Concerns for environmental protection have prevented direct sampling of the lake water thus far. However, an ice core has been retrieved from above the lake in which the bottom similar to 85 m represents lake water that has accreted (i.e., frozen) to the bottom of the ice sheet. We measured selected constituents within the accretion ice core to predict geomicrobiological conditions within the surface waters of the lake. Bacterial density is two- to sevenfold higher in accretion ice than the overlying glacial ice, implying that Lake Vostok is a source of bacterial carbon beneath the ice sheet. Phylogenetic analysis of amplified small subunit ribosomal ribonucleic acid (rRNA) gene sequences in accretion ice formed over a deep portion of the lake revealed phylotypes that classify within the beta-, gamma-, and delta-Proteobacteria. Cellular, major ion, and dissolved organic carbon levels all decreased with depth in the accretion ice (depth is a proxy for increasing distance from the shoreline), implying a greater potential for biological activity in the shallow shoreline waters of the lake. Although the exact nature of the biology within Lake Vostok awaits direct sampling of the lake water, our data from the accretion ice support the working hypothesis that a sustained microbial ecosystem is present in this subglacial lake environment, despite high pressure, constant cold, low nutrient input, potentially high oxygen concentrations, and an absence of sunlight.</t>
  </si>
  <si>
    <t>Montana State Univ, Dept Land Resources &amp; Environm Sci, Bozeman, MT 59717 USA; Columbia Univ, Lamont Doherty Geol Observ, Palisades, NY 10964 USA; CALTECH, Jet Prop Lab, Astrobiol Grp, Pasadena, CA 91109 USA; Ohio State Univ, Byrd Polar Res Ctr, Dept Geol Sci, Columbus, OH 43210 USA; Univ Bristol, Bristol Glaciol Ctr, Sch Geog Sci, Bristol BS8 1SS, Avon, England; Montana State Univ, Ctr Biofilm Engn, Bozeman, MT 59717 USA</t>
  </si>
  <si>
    <t>Montana State University System; Montana State University Bozeman; Columbia University; California Institute of Technology; National Aeronautics &amp; Space Administration (NASA); NASA Jet Propulsion Laboratory (JPL); University System of Ohio; Ohio State University; University of Bristol; Montana State University System; Montana State University Bozeman</t>
  </si>
  <si>
    <t>Priscu, JC (corresponding author), Montana State Univ, Dept Land Resources &amp; Environm Sci, 334 Leon Johnson Hall, Bozeman, MT 59717 USA.</t>
  </si>
  <si>
    <t>jpriscu@montana.edu</t>
  </si>
  <si>
    <t>Tranter, Martyn/E-3722-2010</t>
  </si>
  <si>
    <t>Tranter, Martyn/0000-0003-2071-3094; Studinger, Michael/0000-0003-1265-4741; Foreman, Christine/0000-0003-0230-4692; Welch, Kathleen/0000-0003-1028-3086</t>
  </si>
  <si>
    <t>Directorate For Geosciences; Office of Polar Programs (OPP) [0832755, 1041742] Funding Source: National Science Foundation</t>
  </si>
  <si>
    <t>1939-5590</t>
  </si>
  <si>
    <t>10.4319/lo.2006.51.6.2485</t>
  </si>
  <si>
    <t>108UW</t>
  </si>
  <si>
    <t>WOS:000242265700001</t>
  </si>
  <si>
    <t>Cottier, FR; Tarling, GA; Wold, A; Falk-Petersen, S</t>
  </si>
  <si>
    <t>Cottier, Finlo R.; Tarling, Geraint A.; Wold, Anette; Falk-Petersen, Stig</t>
  </si>
  <si>
    <t>Unsynchronized and synchronized vertical migration of zooplankton in a high arctic fjord</t>
  </si>
  <si>
    <t>CALANUS-FINMARCHICUS; MEGANYCTIPHANES-NORVEGICA; SPATIAL-DISTRIBUTION; LIGHT-INTENSITY; LIFE-HISTORY; KONGSFJORDEN; PATTERNS; MARINE; KRILL; COPEPODS</t>
  </si>
  <si>
    <t>We measured vertical migration of zooplankton in an arctic fjord at 79 degrees N between June and September 2002 and transcending a period of continuous illumination to one of true day and night to investigate the changing influence of light cues on behavior. Observations made with a moored 300 kHz acoustic Doppler current profiler indicated that two modes of vertical migration occurred during the study period. During the weeks of continuous illumination, backscatter data indicated that there was no net vertical displacement of the population at any time during the 24-h period, but vertical velocity showed a continuous net downward movement in the surface layers and a net upward movement at depth. We interpreted this as unsynchronized vertical migrations by individuals with upward trajectories that slowed closer to the surface and downward trajectories that were most rapid in their initial phases. Synchronized migrations, seen as an upward and downward movement of scattering layers at dusk and dawn respectively, began once true nighttime resumed toward autumn. It is likely that the relative rate of change in light was used as the proximal cue for synchronized migrations. Concurrent net samples identified Calanus finmarchicus and C. glacialis as the most likely contributors to the unsynchronized migration patterns. The high backscatter of the synchronized scattering layers suggests that they included additional taxa such as the euphausiid Thysanoessa spp., the pteropod Limacina helicina, or the hyperiid amphipod Themisto spp.</t>
  </si>
  <si>
    <t>Scottish Assoc Marine Sci, Dustaffnage Marine Lab, Oban PA37 1QA, Argyll, Scotland; British Antarctic Survey, NERC, Cambridge CB3 0ET, England; Morwegian Polar Inst, Polar Environm Res Ctr, N-9296 Tromso, Norway</t>
  </si>
  <si>
    <t>UHI Millennium Institute; UK Research &amp; Innovation (UKRI); Natural Environment Research Council (NERC); NERC British Antarctic Survey; Norwegian Polar Institute</t>
  </si>
  <si>
    <t>Cottier, FR (corresponding author), Scottish Assoc Marine Sci, Dustaffnage Marine Lab, Oban PA37 1QA, Argyll, Scotland.</t>
  </si>
  <si>
    <t>Cottier, Finlo/K-6277-2012; Wold, Anette/JXN-7159-2024</t>
  </si>
  <si>
    <t>Cottier, Finlo/0000-0002-3068-1754</t>
  </si>
  <si>
    <t>10.4319/lo.2006.51.6.2586</t>
  </si>
  <si>
    <t>WOS:000242265700008</t>
  </si>
  <si>
    <t>Passmore, AJ; Jarman, SN; Swadling, KM; Kawaguchi, S; McMinn, A; Nicol, S</t>
  </si>
  <si>
    <t>Passmore, A. J.; Jarman, S. N.; Swadling, K. M.; Kawaguchi, S.; McMinn, A.; Nicol, S.</t>
  </si>
  <si>
    <t>DNA as a dietary biomarker in antarctic krill, Euphausia superba</t>
  </si>
  <si>
    <t>MARINE BIOTECHNOLOGY</t>
  </si>
  <si>
    <t>diet analysis; foodweb; trophic</t>
  </si>
  <si>
    <t>PREY DNA; SOUTHERN-OCEAN; GUT CONTENTS; PCR; PREDATORS; BIAS; PRESERVATION; SEQUENCES; GEORGIA; SEARCH</t>
  </si>
  <si>
    <t>The diet of Antarctic krill (Euphausia superba) has been studied using a variety of techniques, but current methods still suffer from problems that are difficult to solve. This study examined an alternative approach utilizing DNA as a prey biomarker. Methods were developed for the preservation, extraction, and identification of prey DNA from krill collected in the field. Group-specific polymerase chain reaction (PCR) was used to amplify diatom prey (Phylum: Bacillariophyta) and the results from DNA clone libraries were compared with microscopic diet analysis. DNA analysis was superior to microscopy for prey detection. However, differences in prey relative abundance estimates between the two techniques suggested some bias in the DNA-based estimates. Quantification showed that large amounts of prey DNA had been successfully preserved and extracted. Overall the results suggest that the application of DNA-based diet analysis to krill warrants further investigation, particularly for prey that are difficult to study using other methods.</t>
  </si>
  <si>
    <t>Univ Tasmania, Inst Antarctic &amp; So Ocean Studies, Hobart, Tas 7001, Australia; Australian Antarctic Div, Dept Environm &amp; Heritage, Kingston, Tas 7050, Australia; Univ Tasmania, Dept Zool, Hobart, Tas 7001, Australia</t>
  </si>
  <si>
    <t>University of Tasmania; Australian Antarctic Division; University of Tasmania</t>
  </si>
  <si>
    <t>Passmore, AJ (corresponding author), Univ Tasmania, Inst Antarctic &amp; So Ocean Studies, Private Bag 77, Hobart, Tas 7001, Australia.</t>
  </si>
  <si>
    <t>abe.passmore@utas.edu.au</t>
  </si>
  <si>
    <t>Kawaguchi, So/N-1795-2017; McMinn, Andrew/A-9910-2008; Jarman, Simon/H-9265-2016</t>
  </si>
  <si>
    <t>Jarman, Simon/0000-0002-0792-9686; Kawaguchi, So/0000-0002-2042-5095; Swadling, Kerrie/0000-0002-7620-841X</t>
  </si>
  <si>
    <t>1436-2228</t>
  </si>
  <si>
    <t>1436-2236</t>
  </si>
  <si>
    <t>MAR BIOTECHNOL</t>
  </si>
  <si>
    <t>Mar. Biotechnol.</t>
  </si>
  <si>
    <t>10.1007/s10126-005-6088-8</t>
  </si>
  <si>
    <t>121YP</t>
  </si>
  <si>
    <t>WOS:000243193200012</t>
  </si>
  <si>
    <t>Palmer, AS; Snape, I; Stark, JS; Johnstone, GJ; Townsend, AT</t>
  </si>
  <si>
    <t>Palmer, Anne S.; Snape, Ian; Stark, Jonathan S.; Johnstone, Glenn J.; Townsend, Ashley T.</t>
  </si>
  <si>
    <t>Baseline metal concentrations in Paramoera walkeri from East Antarctica</t>
  </si>
  <si>
    <t>trace metals; magnetic sector ICP-MS; Casey station; rare earth elements; biomonitoring; Euphausia superba</t>
  </si>
  <si>
    <t>RARE-EARTH-ELEMENTS; CASEY STATION; HEAVY-METALS; AMPHIPOD; WATERS; BIOACCUMULATION; CONTAMINATION; SENSITIVITY; RADIATION; CADMIUM</t>
  </si>
  <si>
    <t>Remediation of the Thala Valley waste disposal site near Casey Station, East Antarctica was conducted in the austral summer of 2003/2004. Bionionitoring of the adjacent marine environment was undertaken using the gammaridean amphipod Paramoera walkeri as a sentinel species [Stark, J.S., Johnstone, G.J., Palmer, A.S., Snape, L, Larner, B.L., Riddle, M.J., in press, doi:10.1016/j.marpol-bul.2006.05.020. Monitoring the remediation of a near shore waste disposal site in Antarctica using the amphipod Paramoera walkeri and diffusive gradients in thin films (DGTs). Marine Pollution Bulletin and references therein]. Determination of uptake of metals and hypothesis testing for differences that could be attributed to contamination required the establishment of baseline metal concentrations in P. walkeri. Baseline metal concentrations from two reference locations in the Windmill lslands are presented here. P. walkeri was a found to be a sensitive bioaccumulating organism that recorded spatial and temporal variability at the reference sites. Measurement of metals in P. walkeri required the development of a simple digestion procedure that used concentrated nitric acid. For the first time, rare earth metals were determined with additional clean procedures required to measure ultra low concentrations using magnetic sector ICP-MS. Certified and in-house reference materials were employed to ensure method reliability. (c) 2006 Elsevier Ltd. All rights reserved.</t>
  </si>
  <si>
    <t>Univ Tasmania, Sch Chem, ACROSS, Hobart, Tas 7001, Australia; Australian Antarctic Div, Dept Environm &amp; Heritage, Kingston, Tas 7050, Australia; Univ Tasmania, Cent Sci Lab, Hobart, Tas 7001, Australia</t>
  </si>
  <si>
    <t>Palmer, AS (corresponding author), Univ Tasmania, Sch Chem, ACROSS, Private Bag 75, Hobart, Tas 7001, Australia.</t>
  </si>
  <si>
    <t>Anne.Palmer@utas.edu.an</t>
  </si>
  <si>
    <t>Stark, Jonathan/ABF-4025-2020; Townsend, Ashley/J-7445-2014</t>
  </si>
  <si>
    <t>Stark, Jonathan/0000-0002-4268-8072; Townsend, Ashley/0000-0002-2972-2678; Johnstone, Glenn/0000-0002-9302-4794</t>
  </si>
  <si>
    <t>10.1016/j.marpolbul.2006.04.012</t>
  </si>
  <si>
    <t>112FW</t>
  </si>
  <si>
    <t>Green Published, Green Accepted</t>
  </si>
  <si>
    <t>WOS:000242512100025</t>
  </si>
  <si>
    <t>Stibal, M; Sabacká, M; Kastovská, K</t>
  </si>
  <si>
    <t>Stibal, Marek; Sabacka, Marie; Kastovska, Klara</t>
  </si>
  <si>
    <t>Microbial communities on glacier surfaces in Svalbard:: Impact of physical and chemical properties on abundance and structure of cyanobacteria and algae</t>
  </si>
  <si>
    <t>HIGH ARCTIC GLACIER; CRYOCONITE HOLES; HIMALAYAN GLACIER; ANTARCTIC ICE; SOIL; BACTERIA; SNOW; MORPHOLOGY; SEDIMENTS; VALLEY</t>
  </si>
  <si>
    <t>Microbial communities occurring in three types of supraglacial habitats-cryoconite holes, medial moraines, and supraglacial kames-at several glaciers in the Arctic archipelago of Svalbard were investigated. Abundance, biovolume, and community structure were evaluated by using epifluorescence microscopy and culturing methods. Particular emphasis was laid on distinctions in the chemical and physical properties of the supraglacial habitats and their relation to the microbial communities, and quantitative multivariate analyses were used to assess potential relationships. Varying pH (4.8 in cryoconite; 8.5 in a moraine) and texture (the proportion of coarse fraction 2% of dry weight in cryoconite; 99% dw in a kame) were found, and rather low concentrations of organic matter (0.3% of dry weight in a kame; 22% dw in cryoconite) and nutrients (nitrogen up to 0.4% dw, phosphorus up to 0.8% dw) were determined in the samples. In cryoconite sediment, the highest numbers of bacteria, cyanobacteria, and algae were found, whereas relatively low microbial abundances were recorded in moraines and kames. Cyanobacterial cells were significantly more abundant than microalgal ones in cryoconite and supraglacial kames. Different species of the cyanobacterial genus Leptolyngbya were by far the most represented in all samples, and cyanobacteria of the genera Phormidium and Nostoc prevailed in cultures isolated from cryoconite samples. These species are considered opportunistic organisms with wide ecological valency and strong colonizing potential rather than glacial specialists. Statistical analyses suggest that fine sediment with higher water content is the most suitable condition for bacteria, cyanobacteria, and algae. Also, a positive impact of lower pH on microbial growth was found. The fate of a microbial cell deposited on the glacier surface seems therefore predetermined by the physical and chemical factors such as texture of sediment and water content rather than spatial factors or the origin of sediment.</t>
  </si>
  <si>
    <t>University of South Bohemia Ceske Budejovice; Czech Academy of Sciences; Czech Academy of Sciences; Institute of Botany of the Czech Academy of Sciences</t>
  </si>
  <si>
    <t>Stibal, M (corresponding author), Univ S Bohemia, Fac Biol Sci, Branisovska 31, Ceske Budejovice 37005, Czech Republic.</t>
  </si>
  <si>
    <t>marekstibal@centrum.cz</t>
  </si>
  <si>
    <t>Stibal, Marek/I-3852-2016; Rehakova, Klara/B-2143-2012; Sabacka, Marie/I-6378-2012; Rehakova, Klara/JCO-2118-2023</t>
  </si>
  <si>
    <t>Sabacka, Marie/0000-0002-0876-2718; Stibal, Marek/0000-0002-9998-5086; Rehakova, Klara/0000-0002-8871-9989</t>
  </si>
  <si>
    <t>10.1007/s00248-006-9083-3</t>
  </si>
  <si>
    <t>114IR</t>
  </si>
  <si>
    <t>WOS:000242660400006</t>
  </si>
  <si>
    <t>Near, TJ; Parker, SK; Detrich, HW</t>
  </si>
  <si>
    <t>Near, Thomas J.; Parker, Sandra K.; Detrich, H. William, III</t>
  </si>
  <si>
    <t>A genomic fossil reveals key steps in hemoglobin loss by the Antarctic icefishes</t>
  </si>
  <si>
    <t>MOLECULAR BIOLOGY AND EVOLUTION</t>
  </si>
  <si>
    <t>hemoglobin loss by icefishes; genomic instability; genetic introgression; interspecific hybridization; Channichthyidae; Notothenioidei</t>
  </si>
  <si>
    <t>NOTOTHENIOID FISHES; LIKELIHOOD APPROACH; MITOCHONDRIAL-DNA; DIVERGENCE TIMES; MYOGLOBIN EXPRESSION; MOLECULAR EVOLUTION; MAXIMUM-LIKELIHOOD; ANCESTOR STATES; ABSOLUTE RATES; 3-TIMES RULE</t>
  </si>
  <si>
    <t>Antarctic icefishes are the only vertebrates that do not have hemoglobin and erythrocytes in their blood. These startling phenotypes are associated in several icefish species with deletions of juvenile and adult globin loci, which in red-blooded teleosts are typically composed of tightly linked pairs of alpha- and beta-globin genes. It is unknown if the loss of hemoglobin expression in icefishes was the direct result of such deletions or if other mutational events compromised globin chain synthesis prior to globin gene loss. In this study, we show that 15 of the 16 icefish species have lost the adult beta-globin gene but retain a truncated alpha-globin pseudogene. Surprisingly, a phylogenetically derived icefish species, Neopagetopsis ionah, possesses a complete, but nonfunctional, adult alpha beta-globin complex. This cluster contains 2 distinct beta-globin pseudogenes whose phylogenetic origins span the entire Antarctic notothenioid radiation, consistent with an origin via introgression. Maximum likelihood ancestral state reconstruction supports a scenario of icefish globin gene evolution that involves a single loss of the transcriptionally active adult alpha beta-globin cluster prior to the diversification of the extant species in the clade. Through lineage sorting of ancestral polymorphism, 2 types of alleles became fixed in the clade: 1) the alpha-globin pseudogene of the majority of species and 2) the inactive alpha beta-globin complex of N. ionah. We conclude that the globin pseudogene complex of N. ionah is a genomic fossil that reveals key intermediate steps on the pathway to loss of hemoglobin expression by all icefish species.</t>
  </si>
  <si>
    <t>Yale Univ, Dept Ecol &amp; Evolutionary Biol, New Haven, CT 06520 USA; Northeastern Univ, Dept Biol, Boston, MA 02115 USA</t>
  </si>
  <si>
    <t>Yale University; Northeastern University</t>
  </si>
  <si>
    <t>Near, TJ (corresponding author), Yale Univ, Dept Ecol &amp; Evolutionary Biol, New Haven, CT 06520 USA.</t>
  </si>
  <si>
    <t>iceman@neu.edu</t>
  </si>
  <si>
    <t>Near, Thomas J./K-1204-2012</t>
  </si>
  <si>
    <t>Near, Thomas J./0000-0002-7398-6670</t>
  </si>
  <si>
    <t>0737-4038</t>
  </si>
  <si>
    <t>1537-1719</t>
  </si>
  <si>
    <t>MOL BIOL EVOL</t>
  </si>
  <si>
    <t>Mol. Biol. Evol.</t>
  </si>
  <si>
    <t>10.1093/molbev/msl071</t>
  </si>
  <si>
    <t>Biochemistry &amp; Molecular Biology; Evolutionary Biology; Genetics &amp; Heredity</t>
  </si>
  <si>
    <t>092KF</t>
  </si>
  <si>
    <t>WOS:000241094700004</t>
  </si>
  <si>
    <t>Arnason, U; Gullberg, A; Janke, A; Kullberg, M; Lehman, N; Petrov, EA; Väinölä, R</t>
  </si>
  <si>
    <t>Arnason, Ulfur; Gullberg, Anette; Janke, Axel; Kullberg, Morgan; Lehman, Niles; Petrov, Evgeny A.; Vainola, Risto</t>
  </si>
  <si>
    <t>Pinniped phylogeny and a new hypothesis for their origin and dispersal</t>
  </si>
  <si>
    <t>MOLECULAR PHYLOGENETICS AND EVOLUTION</t>
  </si>
  <si>
    <t>Pinnipedia; phylogeny; mitogenomics; evolution; biogeography</t>
  </si>
  <si>
    <t>MITOCHONDRIAL-DNA SEQUENCE; HISTORICAL BIOGEOGRAPHY; MITOGENOMIC ANALYSES; ORDER CARNIVORA; DIVERGENCE; SEALS; EVOLUTION; EMPHASIS; GENOME; WHALE</t>
  </si>
  <si>
    <t>The relationships and the zoogeography of the three extant pinniped families, Otariidae (sea lions and fur seals), Odobenidae (one extant species, the walrus), and Phocidae (true seals), have been contentious. Here, we address these topics in a molecular study that includes all extant species of true seals and sea lions, four fur seals and the walrus. Contrary to prevailing morphological views the analyses conclusively showed monophyletic Pinnipedia with a basal split between Otarioidea (Otariidae + Odobenidae) and Phocidae. The northern fur seal was the sister to all remaining otariids and neither sea lions nor arctocephaline fur seals were recognized as monophyletic entities. The basal Phocidae split between Monachinae (monk seals and southern true seals) and Phocinae (northern true seals) was strongly supported. The phylogeny of the Phocinae suggests that the ancestors of Cystophora (hooded seal) and the Phocini (e.g. harp seal, ringed seal) adapted to Arctic conditions and ice-breeding before 12 MYA (million years ago) as supported by the white natal coat of these lineages. The origin of the endemic Caspian and Baikal seals was dated well before the onset of major Pleistocene glaciations. The current findings, together with recent advances in pinniped paleontology, allow the proposal of a new hypothesis for pinniped origin and early dispersal. The hypothesis posits that pinnipeds originated on the North American continent with early otarioid and otariid divergences taking place in the northeast Pacific and those of the phocids in coastal areas of southeast N America for later dispersal to colder environments in the N Atlantic and the Arctic Basin, and in Antarctic waters. (c) 2006 Elsevier Inc. All rights reserved.</t>
  </si>
  <si>
    <t>Lund Univ, Dept Cell &amp; Organism Biol, Div Evolut Mol Systemat, S-22362 Lund, Sweden; Portland State Univ, Dept Chem, Portland, OR 97207 USA; Eastern Siberian Sci &amp; Fishery Prod Ctr, VOSTSIBRYBCENTR, Ulan Ude 670034, Russia; Univ Helsinki, Finnish Museum Nat Hist, FI-00014 Helsinki, Finland</t>
  </si>
  <si>
    <t>Lund University; Portland State University; University of Helsinki</t>
  </si>
  <si>
    <t>Arnason, U (corresponding author), Lund Univ, Dept Cell &amp; Organism Biol, Div Evolut Mol Systemat, S-22362 Lund, Sweden.</t>
  </si>
  <si>
    <t>ulfur.arnason@cob.lu.se</t>
  </si>
  <si>
    <t>Lehman, Niles/ABF-7609-2021; Lehman, Niles/A-3434-2008; Janke, Axel/M-2135-2013</t>
  </si>
  <si>
    <t>Lehman, Niles/0000-0002-9056-6600; Janke, Axel/0000-0002-9394-1904</t>
  </si>
  <si>
    <t>1055-7903</t>
  </si>
  <si>
    <t>1095-9513</t>
  </si>
  <si>
    <t>MOL PHYLOGENET EVOL</t>
  </si>
  <si>
    <t>Mol. Phylogenet. Evol.</t>
  </si>
  <si>
    <t>10.1016/j.ympev.2006.05.022</t>
  </si>
  <si>
    <t>097PI</t>
  </si>
  <si>
    <t>WOS:000241460000009</t>
  </si>
  <si>
    <t>Bagis, H; Aktoprakligil, D; Mercan, HO; Yurdusev, N; Turgut, G; Sekmen, S; Arat, S; Cetin, S</t>
  </si>
  <si>
    <t>Bagis, Haydar; Aktoprakligil, Digdem; Mercan, Hande Odaman; Yurdusev, Nevzat; Turgut, Gazi; Sekmen, Sakir; Arat, Sezen; Cetin, Seyfettin</t>
  </si>
  <si>
    <t>Stable transmission and transcription of Newfoundland ocean pout type III fish antifreeze protein (AFP) gene in transgenic mice and hypothermic storage of transgenic ovary and testis</t>
  </si>
  <si>
    <t>MOLECULAR REPRODUCTION AND DEVELOPMENT</t>
  </si>
  <si>
    <t>transgenic mouse; antifreeze protein; ocean pout; hypothermic storage</t>
  </si>
  <si>
    <t>MACROZOARCES-AMERICANUS; DROSOPHILA-MELANOGASTER; ANTARCTIC FISHES; IN-VITRO; EXPRESSION; EMBRYOS; MOUSE; OOCYTES; ICE; RECRYSTALLIZATION</t>
  </si>
  <si>
    <t>Here we describe the generation of transgenic mice carrying type III fish antifreeze protein (AFP) gene and evaluate whether AFP type III protects transgenic mouse ovaries and testes from hypothermic storage. AFPs exist in many different organisms. In fish, AFPs protect the host from freezing at temperatures below the colligative freezing point by adsorbing to the surface of nucleating ice crystals and inhibiting their growth. The transgenic expression of AFP holds great promise for conferring freeze-resistant plant and animal species. AFP also exhibits a potential for the cryopreservation of tissues and cells. In this study, we have generated 42 founder mice harboring the Newfoundland ocean pout (OP5A) type III AFP transgene and established one transgenic line (the line #6). This study demonstrated that AFP gene construct has been stably transmitted to the mouse progeny in the F3 generations in the line #6. Furthermore, the presence of AFP transcripts was confirmed by RT-PCR analysis on cDNAs from liver, kidney, ovarian, and testis tissues of the mouse from F3 generation in this line. These results indicate that ocean pout type III AFP gene could be integrated and transmitted to the next generation and stably transcribed in transgenic mice. In histological analysis of testis and ovarian tissues of nontransgenic control and AFP transgenic mice it has been shown that both tissues of AFP transgenic mice were protected from hypothermic storage (+4 degrees C). The AFP III transgenic mice obtained for the first time in this study would be useful for investigating the biological functions of AFP in mammalian systems and also its potential role in cryopreservation.</t>
  </si>
  <si>
    <t>TUBITAK Marmara Res Ctr, RIGEB, Transgen Core Facil, TR-41470 Gebze, Kocaeli, Turkey; On Dokuz Mayis Univ, Fac Vet Med, Dept Microbiol, Samsun, Turkey</t>
  </si>
  <si>
    <t>Turkiye Bilimsel ve Teknolojik Arastirma Kurumu (TUBITAK); Ondokuz Mayis University</t>
  </si>
  <si>
    <t>Bagis, H (corresponding author), TUBITAK Marmara Res Ctr, RIGEB, Transgen Core Facil, POB 41, TR-41470 Gebze, Kocaeli, Turkey.</t>
  </si>
  <si>
    <t>haydar@gmbae.tubitak.gov.tr</t>
  </si>
  <si>
    <t>BAĞIŞ/V-3827-2017; Aktoprakligil Aksu, Diğdem/AFD-8579-2022; arat, sezen/ABA-7370-2020; Aktoprakligil Aksu, Diğdem/AAE-9457-2022</t>
  </si>
  <si>
    <t>Aktoprakligil Aksu, Diğdem/0000-0001-9125-2454; arat, sezen/0000-0002-2789-0635; Aktoprakligil Aksu, Diğdem/0000-0001-9125-2454</t>
  </si>
  <si>
    <t>WILEY-LISS</t>
  </si>
  <si>
    <t>DIV JOHN WILEY &amp; SONS INC, 111 RIVER ST, HOBOKEN, NJ 07030 USA</t>
  </si>
  <si>
    <t>1040-452X</t>
  </si>
  <si>
    <t>MOL REPROD DEV</t>
  </si>
  <si>
    <t>Mol. Reprod. Dev.</t>
  </si>
  <si>
    <t>10.1002/mrd.20601</t>
  </si>
  <si>
    <t>Biochemistry &amp; Molecular Biology; Cell Biology; Developmental Biology; Reproductive Biology</t>
  </si>
  <si>
    <t>086GN</t>
  </si>
  <si>
    <t>WOS:000240661900007</t>
  </si>
  <si>
    <t>Cucurull, L; Kuo, YH; Barker, D; Rizvi, SRH</t>
  </si>
  <si>
    <t>Cucurull, L.; Kuo, Y. -H.; Barker, D.; Rizvi, S. R. H.</t>
  </si>
  <si>
    <t>Assessing the impact of simulated COSMIC GPS radio occultation data on weather analysis over the antarctic: A case study</t>
  </si>
  <si>
    <t>MONTHLY WEATHER REVIEW</t>
  </si>
  <si>
    <t>GLOBAL POSITIONING SYSTEM; ASSIMILATION; ATMOSPHERE; IMPLEMENTATION; PREDICTION; VALIDATION; CYCLONE; ADJOINT; FILTER; MODEL</t>
  </si>
  <si>
    <t>The Constellation Observing System for Meteorology, Ionosphere, and Climate (COSMIC) mission was launched in April 2006. As part of its mission, COSMIC will provide approximately 2500-3000 global positioning system (GPS) radio occultation (RO) soundings per day distributed uniformly around the globe. In this study, a series of sensitivity experiments are conducted to assess the potential impact of COSMIC GPS RO data on the regional weather analysis over the Antarctic. Soundings of refractivity are assimilated into the fifth-generation Pennsylvania State University-National Center for Atmospheric Research Mesoscale Model using its three-dimensional variational data assimilation system. First, the sensitivity of the analysis to the background error statistics and balance constraints is analyzed. Then the effects of the data distribution and the observational error of the simulated refractivity observations are examined. In this study, the simulated soundings are based on a realistic set of orbit parameters of the COSMIC constellation. Analysis of the assimilation results indicates the significant potential impact of COSMIC data on regional analyses over the Antarctic. In the one case studied here, the root-mean-square differences between the background and observed values are reduced by 12% in the horizontal wind component, 17% in the temperature variable, 8% in the specific humidity, and 22% in the pressure field when COSMIC GPS RO data are assimilated into the system by using a 6-h assimilation time window. These preliminary results suggest that COSMIC GPS RO data can have a significant impact on operational numerical weather analysis in the Antarctic.</t>
  </si>
  <si>
    <t>Univ Corp Atmospher Res, COSMIC Project, Boulder, CO USA; Univ Corp Atmospher Res, Natl Ctr Atmospher Res, Boulder, CO USA</t>
  </si>
  <si>
    <t>National Center Atmospheric Research (NCAR) - USA; National Center Atmospheric Research (NCAR) - USA</t>
  </si>
  <si>
    <t>Cucurull, L (corresponding author), NOAA, NWS, NCEP, EMC, W-NP2,Rm 207,5200 Auth Rd, Suitland, MD 20746 USA.</t>
  </si>
  <si>
    <t>cucurull@ucar.edu</t>
  </si>
  <si>
    <t>Cucurull, Lidia/E-8900-2015</t>
  </si>
  <si>
    <t>Barker, Dale/0000-0002-3527-1375</t>
  </si>
  <si>
    <t>0027-0644</t>
  </si>
  <si>
    <t>MON WEATHER REV</t>
  </si>
  <si>
    <t>Mon. Weather Rev.</t>
  </si>
  <si>
    <t>10.1175/MWR3241.1</t>
  </si>
  <si>
    <t>109EV</t>
  </si>
  <si>
    <t>WOS:000242291600014</t>
  </si>
  <si>
    <t>Gocheva, YG; Krumova, ET; Slokoska, LS; Miteva, JG; Vassilev, SV; Angelova, MB</t>
  </si>
  <si>
    <t>Gocheva, Yana G.; Krumova, Ekaterina Tz.; Slokoska, Lyudmila S.; Miteva, Jeny G.; Vassilev, Spassen V.; Angelova, Maria B.</t>
  </si>
  <si>
    <t>Cell response of Antarctic and temperate strains of Penicillium spp. to different growth temperature</t>
  </si>
  <si>
    <t>MYCOLOGICAL RESEARCH</t>
  </si>
  <si>
    <t>Antarctic fungi; catalase; glycogen; low-temperature stress; protein oxidation; superoxide dismutase; trehalose</t>
  </si>
  <si>
    <t>SUPEROXIDE-DISMUTASE; OXIDATIVE STRESS; ANTIOXIDANT RESPONSE; EXPRESSION ANALYSIS; GENETIC-EVIDENCE; COLD ADAPTATION; GLYCOGEN; YEAST; EXPOSURE; METABOLISM</t>
  </si>
  <si>
    <t>The effect of growth temperature (10, 15, 20, 25, and 30 degrees C) on the cell response was compared between two Antarctic Penicillium sp. strains (Penicillium sp. p14 and Penicillium sp. m12) and a European temperate strain, Penicillium sp. t35. According to the temperature profiles, Penicillium sp. p14 was identified as psychrophilic, while Penicillium sp. m12 and Penicillium sp. t35 as mesophilic fungi, respectively. The results demonstrated that the growth at low temperature does clearly induce oxidative stress events in all strains tested. Decreases in growth temperature below the optimal coincided with markedly enhanced protein carbonyl content, an indicator of oxidatively damaged proteins. Also, the cellular response to growth temperature in terms of reserve carbohydrate was determined. in the mesophilic strains there was essentially no enhancement of glycogen content. This was in contrast to the psychrophilic Penicillium sp. p14, which gradually accumulated glycogen in response to cold (10 degrees C) during the exponential phase. In addition, elevated endogenous levels of trehalose upon low-temperature stress were exhibited by all model microorganisms. Compared with temperate mesophilic Penicillium sp. t35, Antarctic strains (psychrophilic Penicillium sp. p14 and mesophilic Penicillium sp. m12) demonstrated a marked rise in activities of protective enzymes such as superoxide dismutase and catalase at decreasing temperatures. The results suggested that low-temperature resistance is partially associated with enhanced scavenging systems. (c) 2006 The British Mycological Society. Published by Elsevier Ltd. All rights reserved.</t>
  </si>
  <si>
    <t>Bulgarian Acad Sci, Inst Microbiol, Sofia 1113, Bulgaria</t>
  </si>
  <si>
    <t>Bulgarian Academy of Sciences; Medical University Sofia</t>
  </si>
  <si>
    <t>Angelova, MB (corresponding author), Bulgarian Acad Sci, Inst Microbiol, Acad G Bochev 26, Sofia 1113, Bulgaria.</t>
  </si>
  <si>
    <t>mariange@microbio.bas.bg</t>
  </si>
  <si>
    <t>Gocheva, Yana/AAA-5526-2021</t>
  </si>
  <si>
    <t>Gocheva, Yana/0000-0002-6680-922X</t>
  </si>
  <si>
    <t>0953-7562</t>
  </si>
  <si>
    <t>MYCOL RES</t>
  </si>
  <si>
    <t>Mycol. Res.</t>
  </si>
  <si>
    <t>10.1016/j.mycres.2006.08.007</t>
  </si>
  <si>
    <t>Mycology</t>
  </si>
  <si>
    <t>116EZ</t>
  </si>
  <si>
    <t>WOS:000242786600009</t>
  </si>
  <si>
    <t>Bonaventura, J</t>
  </si>
  <si>
    <t>Bonaventura, Joseph</t>
  </si>
  <si>
    <t>Is there anything for NOS to SNO in the Antarctic?</t>
  </si>
  <si>
    <t>NITRIC OXIDE-BIOLOGY AND CHEMISTRY</t>
  </si>
  <si>
    <t>HEMOGLOBIN; FISH</t>
  </si>
  <si>
    <t>Univ Puerto Rico, Dept Chem, NIH Prot Res Ctr, Mayaguez, PR 00681 USA</t>
  </si>
  <si>
    <t>University of Puerto Rico; University of Puerto Rico Mayaguez</t>
  </si>
  <si>
    <t>Bonaventura, J (corresponding author), Univ Puerto Rico, Dept Chem, NIH Prot Res Ctr, Mayaguez, PR 00681 USA.</t>
  </si>
  <si>
    <t>joeb@uprr.pr</t>
  </si>
  <si>
    <t>NCRR NIH HHS [5P20RR016439] Funding Source: Medline</t>
  </si>
  <si>
    <t>NCRR NIH HHS(United States Department of Health &amp; Human ServicesNational Institutes of Health (NIH) - USANIH National Center for Research Resources (NCRR))</t>
  </si>
  <si>
    <t>1089-8603</t>
  </si>
  <si>
    <t>1089-8611</t>
  </si>
  <si>
    <t>NITRIC OXIDE-BIOL CH</t>
  </si>
  <si>
    <t>Nitric Oxide-Biol. Chem.</t>
  </si>
  <si>
    <t>10.1016/j.niox.2006.06.001</t>
  </si>
  <si>
    <t>097AU</t>
  </si>
  <si>
    <t>WOS:000241419400002</t>
  </si>
  <si>
    <t>Amelio, D; Garofalo, F; Pellegrino, D; Giordano, F; Tota, B; Cerra, MC</t>
  </si>
  <si>
    <t>Amelio, Daniela; Garofalo, Filippo; Pellegrino, Daniela; Giordano, Francesca; Tota, Bruno; Cerra, Maria Carmela</t>
  </si>
  <si>
    <t>Cardiac expression and distribution of nitric oxide synthases in the ventricle of the cold-adapted Antarctic teleosts, the hemoglobinless Chionodraco hamatus and the red-blooded Trematomus bernacchii</t>
  </si>
  <si>
    <t>cardiac nitric oxide synthase; Antarctic teleosts; NADPH-diaphorase; immunofluorescence; western blotting</t>
  </si>
  <si>
    <t>CONTRACTILE FUNCTION; NOTOTHENIOID FISHES; ENDOTHELIAL-CELLS; IN-VIVO; HEART; NO; MYOCYTES; BINDING; ENOS; ULTRASTRUCTURE</t>
  </si>
  <si>
    <t>The presence of nitric oxide synthase (NOS) was investigated in the ventricle of two Antarctic teleosts, the hemoglobinless icefish Chionodraco hamatus and its red-blooded counterpart, Trematomus bernacchii. Under unstimulated conditions, in both teleosts, NADPH-diaphorase localised NOS activity in the endocardial endothelial cells (EEc) and in the myocardiocytes. Application of anti-mammalian endothelial and inducible NOS (eNOS and iNOS, respectively) primary antibodies for inummotluorescence revealed a comparable tissue-specific basal expression of the two isoforms in the two species. eNOS strongly localised at the level of the EEc and, in T bernacchii, of the vascular endothelium (VE). The enzyme is also localised, albeit to less extent, within the myocardiocytes, and in the epicardium. In contrast, iNOS immunostaining only labels the cytoplasm of the ventricular myocytes. Western blotting analysis identified two peptides with molecular masses of about 135 and 130 kDa, similar to those of the mammalian eNOS and iNOS. To verify whether this NOS system is susceptible to septic stimulation, C. hamatus and T bernacchii were exposed to bacterial lipopolysaccharide (LPS). The treatment did not modify the distribution pattern of the two isoenzymes while it increased the amount of NADPH-diaphorase-dependent reaction product and the expression of both eNOS and iNOS. These results indicate a high phylogenetic conservation of the intracardiac NOS system, emphasizing its importance in the control of the vertebrate heart and its relevance as a general mechanism of defense against pathogens. (c) 2005 Elsevier Inc. All rights reserved.</t>
  </si>
  <si>
    <t>Univ Calabria, Dept Cellular Biol, I-87030 Arcavacata Di Rende, CS, Italy; Univ Calabria, Dept Pharmacobiol, I-87030 Arcavacata Di Rende, CS, Italy</t>
  </si>
  <si>
    <t>University of Calabria; University of Calabria</t>
  </si>
  <si>
    <t>Tota, B (corresponding author), Univ Calabria, Dept Cellular Biol, I-87030 Arcavacata Di Rende, CS, Italy.</t>
  </si>
  <si>
    <t>Giordano, Francesca/E-4039-2017</t>
  </si>
  <si>
    <t>Garofalo, Filippo/0000-0002-4211-3850; Pellegrino, Daniela/0000-0002-9815-5195; GIORDANO, Francesca/0000-0002-7621-1969; Cerra, Maria Carmela/0000-0002-2091-928X; Amelio, Daniela/0000-0002-5543-8531</t>
  </si>
  <si>
    <t>10.1016/j.niox.2005.12.007</t>
  </si>
  <si>
    <t>WOS:000241419400003</t>
  </si>
  <si>
    <t>Montechiaro, F; Giordano, M</t>
  </si>
  <si>
    <t>Montechiaro, Federico; Giordano, Mario</t>
  </si>
  <si>
    <t>Effect of prolonged dark incubation on pigments and photosynthesis of the cave-dwelling cyanobacterium Phormidium autumnale (Oscillatoriales, Cyanobacteria)</t>
  </si>
  <si>
    <t>PHYCOLOGIA</t>
  </si>
  <si>
    <t>caves; cyanobacteria; dark; homeostasis; photosynthesis; pigments</t>
  </si>
  <si>
    <t>BLUE-GREEN-ALGAE; DUNALIELLA-TERTIOLECTA; MARINE-PHYTOPLANKTON; PALMARIA-DECIPIENS; ANTARCTIC LAKE; CHLOROPHYLL-A; LIGHT; NITROGEN; ACCLIMATION; TEMPERATURE</t>
  </si>
  <si>
    <t>The effect of prolonged darkness on the photosynthetic apparatus of the cyanobacterium Phormidium autumnale was investigated under nonheterotrophic conditions. The purpose of this study was to better understand the processes that allow this organism to rapidly resume growth after prolonged exposure to darkness, as it is often the case in show caves, where periods of darkness are applied to reduce algal proliferation. Phormidium autumnale was subjected to 4 weeks in the dark; this treatment elicited a large decrease in the cells' photosynthetic capacity (P-max), while the photosynthetic affinity for photons (a) was affected to a smaller degree. Chlorophyll a and carotenoid contents were approximately constant over the 4 weeks of dark incubation, whereas the amount of phycobilins (phycocyanin, allophycocyanin and phycoerythrin) per cell decreased by 50% between the first and the last week of incubation. The relative abundance of the three phycobilins did not vary throughout the treatment, suggesting that the decrease in the number of phycobilisomes was not paralleled by changes in their relative composition. Upon re-exposure to light, cells promptly resumed photosynthesis and were able to cope with high irradiance up to 1600 mu mol photons m(-2) s(-1). The resilience of the photosynthetic apparatus of P. autumnale in the dark may be one of the features that determine the prevalence of this organism in the cave flora at the expenses of more dark-sensitive photolithotrophs (i.e. organisms whose photosynthetic apparatus is substantially reduced or disassembled in the dark).</t>
  </si>
  <si>
    <t>Univ Politecn Marche, Dipartimento Sci Mare, Lab Fisiol Alghe, I-60131 Ancona, Italy</t>
  </si>
  <si>
    <t>Marche Polytechnic University</t>
  </si>
  <si>
    <t>Giordano, M (corresponding author), Univ Politecn Marche, Dipartimento Sci Mare, Lab Fisiol Alghe, Via Brecce Bianche, I-60131 Ancona, Italy.</t>
  </si>
  <si>
    <t>m.giordano@univpm.it</t>
  </si>
  <si>
    <t>Giordano, Mario/A-8949-2008</t>
  </si>
  <si>
    <t>Giordano, Mario/0000-0001-7754-0521</t>
  </si>
  <si>
    <t>INT PHYCOLOGICAL SOC</t>
  </si>
  <si>
    <t>NEW BUSINESS OFFICE, PO BOX 1897, LAWRENCE, KS 66044-8897 USA</t>
  </si>
  <si>
    <t>0031-8884</t>
  </si>
  <si>
    <t>Phycologia</t>
  </si>
  <si>
    <t>10.2216/06-15.1</t>
  </si>
  <si>
    <t>104QG</t>
  </si>
  <si>
    <t>WOS:000241973000011</t>
  </si>
  <si>
    <t>Ribordy, M</t>
  </si>
  <si>
    <t>Ribordy, M.</t>
  </si>
  <si>
    <t>From AMANDA to IceCube</t>
  </si>
  <si>
    <t>PHYSICS OF ATOMIC NUCLEI</t>
  </si>
  <si>
    <t>HIGH-ENERGY NEUTRINOS; COSMIC-RAY; ATMOSPHERIC MUON; POINT SOURCES; BLACK-HOLES; SPECTRA; SEARCH; FLUX; DIMENSIONS; DETECTORS</t>
  </si>
  <si>
    <t>The first string of the neoteric high-energy neutrino telescope IceCube successfully began operating in January 2005. It is anticipated that, upon completion, the new detector will vastly increase the sensitivity and extend the reach of AMANDA to higher energies. A discussion of the IceCube's discovery potential for extraterrestrial neutrinos, together with the prospects of new physics derived from the ongoing AMANDA research, will be the focus of this paper. Preliminary results of the first antarctic high-energy neutrino telescope AMANDA searching in the muon-neutrino channel for localized and diffuse excess of extraterrestrial neutrinos will be reviewed using data collected between 2000 and 2003. Neutrino flux limits obtained with the all-flavor dedicated ultrahigh energy and cascade analyses will be described. A first neutrino spectrum above 1 TeV in agreement with atmospheric neutrino flux expectations and no extraterrestrial contribution will be presented, followed by a discussion of a limit for neutralino cold dark matter candidates annihilating in the center of the Sun.</t>
  </si>
  <si>
    <t>Univ Mons, B-7000 Mons, Belgium</t>
  </si>
  <si>
    <t>University of Mons</t>
  </si>
  <si>
    <t>Ribordy, M (corresponding author), Univ Mons, B-7000 Mons, Belgium.</t>
  </si>
  <si>
    <t>mathieu.ribordy@umh.ac.be</t>
  </si>
  <si>
    <t>Hundertmark, Stephan/A-6592-2010; Sánchez, Juan Antonio Aguilar/H-4467-2015; Venkateswararao, Gollakaram/B-5490-2015; Naidu, Rajagopal/K-3038-2016; DeYoung, Tyce/O-6895-2019; Wiebusch, Christopher H.V./G-6490-2012; Pena Garay, Carlos/H-5769-2018</t>
  </si>
  <si>
    <t>Venkateswararao, Gollakaram/0000-0002-0327-7764; DeYoung, Tyce/0000-0003-4873-3783; Wiebusch, Christopher H.V./0000-0002-6418-3008; Rhode, Wolfgang/0000-0003-2636-5000; Pena Garay, Carlos/0000-0003-1282-2944; Kampert, Karl-Heinz/0000-0002-2805-0195; Burgess, Thomas/0000-0002-6993-5918; Lang, Rafael/0000-0001-7594-2746; Rott, Carsten/0000-0002-6958-6033; McCauley, Thomas/0000-0001-6589-8286; Kolanoski, Hermann/0000-0003-0435-2524; Helbing, Klaus/0000-0003-2072-4172; Resconi, Elisa/0000-0003-0705-2770; Cooley, Jodi/0000-0001-6761-2042</t>
  </si>
  <si>
    <t>PLEIADES PUBLISHING INC</t>
  </si>
  <si>
    <t>PLEIADES PUBLISHING INC, MOSCOW, 00000, RUSSIA</t>
  </si>
  <si>
    <t>1063-7788</t>
  </si>
  <si>
    <t>1562-692X</t>
  </si>
  <si>
    <t>PHYS ATOM NUCL+</t>
  </si>
  <si>
    <t>Phys. Atom. Nuclei</t>
  </si>
  <si>
    <t>10.1134/S1063778806110147</t>
  </si>
  <si>
    <t>Physics, Nuclear; Physics, Particles &amp; Fields</t>
  </si>
  <si>
    <t>105VU</t>
  </si>
  <si>
    <t>WOS:000242061200014</t>
  </si>
  <si>
    <t>Green, CJ; Trathan, PN; Preston, M</t>
  </si>
  <si>
    <t>Green, Chris J.; Trathan, Phil N.; Preston, Mark</t>
  </si>
  <si>
    <t>A new automated logging gateway to study the demographics of macaroni penguins (Eudyptes chrysolophus) at Bird Island, South Georgia:: testing the reliability of the system using radio telemetry</t>
  </si>
  <si>
    <t>FLIPPER-BANDS; TRANSPONDERS</t>
  </si>
  <si>
    <t>The use of automated systems to record the identity of individual penguins and their movements in and out of a colony can provide an effective means of studying penguin biology remotely. A new gateway installed at the macaroni penguin colony at Fairy Point (513 breeding pairs in 2003) on Bird Island, South Georgia in February 2003 and the implantation of passive integrated transponders for identifying individuals is described. The reliability of the system in recording penguin arrival and departure during the end of the 2002/2003 breeding season and over the complete 2003/2004 breeding season was tested using an independent method of radio telemetry. Results from two seasons of trials indicated that there was only a 3.7% probability of the gateway missing a penguin in 2002/2003 (185 total logged crossings) and 3.9% in 2003/2004 (1,309 total logged crossings); this compared with probabilities of 16.2 and 7.9% using radio telemetry, both differences being highly significant. This automatic logging gateway is therefore shown to be a more reliable means of recording the transit of penguins between the colony and sea and, over the longer term, elucidating colony attendance and survival rates of this species at South Georgia.</t>
  </si>
  <si>
    <t>Trathan, PN (corresponding author), British Antarctic Survey, High Cross,Madingley Rd, Cambridge CB3 0ET, England.</t>
  </si>
  <si>
    <t>pnt@bas.ac.uk</t>
  </si>
  <si>
    <t>10.1007/s00300-006-0143-4</t>
  </si>
  <si>
    <t>094DM</t>
  </si>
  <si>
    <t>WOS:000241219600001</t>
  </si>
  <si>
    <t>Bascuñán-Godoy, L; Uribe, E; Zúñiga-Feest, A; Corcuera, LJ; Bravo, LA</t>
  </si>
  <si>
    <t>Bascunan-Godoy, Luisa; Uribe, Elena; Zuniga-Feest, Alejandra; Corcuera, Luis J.; Bravo, Leon A.</t>
  </si>
  <si>
    <t>Low temperature regulates sucrose-phosphate synthase activity in Colobanthus quitensis (Kunth) Bartl. by decreasing its sensitivity to Pi and increased activation by glucose-6-phosphate</t>
  </si>
  <si>
    <t>COLD RESISTANCE; RESPONSES; PHOTOSYNTHESIS; ACCUMULATION; METABOLISM; FRUCTOSE; STRESS; LIGHT; FORMS</t>
  </si>
  <si>
    <t>Colobanthus quitensis (Kunth) Bartl. is widely distributed from Mexico to the Antarctic. C. quitensis is a freezing resistant species that accumulates sucrose in response to cold. We tested the hypothesis that low temperature modifies the kinetic properties of C. quitensis sucrose phosphate synthase (SPS) to increase its activity and ability to synthesize sucrose during cold acclimation. Cold acclimation caused a fourfold increment in sucrose concentration and a 100% increase in SPS activity, without changes in the level of SPS protein. Cold acclimation did not affect the optimal temperature and pH for SPS activity. However, it caused a tenfold increase in the inhibition constant (K-i) for inorganic phosphate (Pi) calculated as a function of fructose-6-phosphate (Fruc-6-P). SPS from cold acclimated plants also exhibited a higher reduction of its Michaelis constant (K-m) for glucose-6-phosphate (Gluc-6-P) with respect to non-acclimated plants. We suggest that the increase in C. quitensis SPS K-i for Pi and the increase in activation by Gluc-6-P in response to cold keep SPS activated, leading to high sucrose accumulation. This may be an important adaptation that allows efficient accumulation of sucrose during the harsh Antarctic summer.</t>
  </si>
  <si>
    <t>Univ Concepcion, Fac Ciencias Nat &amp; Oceanog, Dept Bot, Concepcion, Chile; Univ Concepcion, Fac Ciencias Biol, Dept Biol Mol, Concepcion, Chile; Univ Austral Chile, Fac Ciencias, Inst Bot, Valdivia, Chile</t>
  </si>
  <si>
    <t>Universidad de Concepcion; Universidad de Concepcion; Universidad Austral de Chile</t>
  </si>
  <si>
    <t>Bravo, LA (corresponding author), Univ Concepcion, Fac Ciencias Nat &amp; Oceanog, Dept Bot, Casilla 160C, Concepcion, Chile.</t>
  </si>
  <si>
    <t>lebravo@udec.cl</t>
  </si>
  <si>
    <t>Godoy, Luisa Bascunan/AAF-2978-2019; Corcuera, Luis J/G-1714-2014; Bascunan-Godoy, Luisa/H-7357-2015; Bravo, Leon/H-9251-2018; Bravo, León/AAO-8437-2020; Zuniga-Feest, Alejandra/D-8308-2015</t>
  </si>
  <si>
    <t>Godoy, Luisa Bascunan/0000-0001-8346-7295; Bascunan-Godoy, Luisa/0000-0001-8346-7295; Bravo, Leon/0000-0003-4705-4842; Bravo, León/0000-0003-4705-4842; Zuniga-Feest, Alejandra/0000-0002-3524-9813</t>
  </si>
  <si>
    <t>10.1007/s00300-006-0144-3</t>
  </si>
  <si>
    <t>WOS:000241219600002</t>
  </si>
  <si>
    <t>Buonocore, F; Randelli, E; Paderi, F; Bird, S; Secombes, CJ; Mazzini, M; Scapigliati, G</t>
  </si>
  <si>
    <t>Buonocore, Francesco; Randelli, Elisa; Paderi, Francesca; Bird, Steve; Secombes, Chris J.; Mazzini, Massimo; Scapigliati, Giuseppe</t>
  </si>
  <si>
    <t>The cytokine IL-1β from the crocodile icefish Chionodraco hamatus (Perciformes: Channichthyidae)</t>
  </si>
  <si>
    <t>TROUT ONCORHYNCHUS-MYKISS; RAINBOW-TROUT; ANTARCTIC FISH; INTERLEUKIN-1-BETA GENE; MOLECULAR-CLONING; SEQUENCE; EXPRESSION; ORGANIZATION; BERNACCHII; EVOLUTION</t>
  </si>
  <si>
    <t>The immune system of the so-called crocodile icefishes, members of the family Channichthyidae, has been recently investigated to study its morphological and functional organisation, to evidence the presence of specific immune humoral responses, and to analyse immunoglobulin genes. In the present study, primers designed to conserved regions of interleukin-1 beta were used for the homology cloning of the icefish Chionodraco hamatus IL-1 beta gene. The full length cDNA consists of 1,289 nucleotides that translate in a single reading frame to give a predicted 250-amino acid molecule. The sequence had the highest nucleotide identity (75.7%) and amino acid similarity (69.8%) and identity (63.2%) with turbot IL-1 beta, followed by European sea bass and gilthead sea bream. Studies of IL-1 beta expression indicated that this molecule is induced, both in vitro and in vivo, by bacterial lipopolysaccharide (LPS). Finally, similar to other Perciformes IL-1 beta genes, the C. hamatus gene is organised in five exons and four introns.</t>
  </si>
  <si>
    <t>Univ Tuscia, Dipartimento Sci Ambientali, I-01100 Viterbo, Italy; Univ Aberdeen, Scottish Fish Immunol Res Ctr, Aberdeen 24 2TZ, Scotland</t>
  </si>
  <si>
    <t>Tuscia University; University of Aberdeen</t>
  </si>
  <si>
    <t>Buonocore, F (corresponding author), Univ Tuscia, Dipartimento Sci Ambientali, Largo Univ SNC, I-01100 Viterbo, Italy.</t>
  </si>
  <si>
    <t>fbuono@unitus.it</t>
  </si>
  <si>
    <t>Buonocore, Francesco/AAA-5236-2020; bird, steve/B-5339-2009; paderi, francesca/K-1798-2014; Bird, Steve/K-4822-2014</t>
  </si>
  <si>
    <t>Buonocore, Francesco/0000-0001-8045-5651; Bird, Steve/0000-0003-2937-8579</t>
  </si>
  <si>
    <t>10.1007/s00300-006-0145-2</t>
  </si>
  <si>
    <t>WOS:000241219600003</t>
  </si>
  <si>
    <t>Watts, J; Thatje, S; Clarke, S; Belchier, M</t>
  </si>
  <si>
    <t>Watts, Jamie; Thatje, Sven; Clarke, Sarah; Belchier, Mark</t>
  </si>
  <si>
    <t>A description of larval and early juvenile development in Paralomis spinosissima (Decapoda: Anomura: Paguroidea: Lithodidae) from South Georgia waters (Southern Ocean)</t>
  </si>
  <si>
    <t>GRANULOSA JACQUINOT; SANTOLLA MOLINA; CRAB; COLD; MEGALOPAL; ECOLOGY</t>
  </si>
  <si>
    <t>The early ontogenetic stages of Paralomis spinosissima Birstein and Vinogradow, 1972, are described in detail and illustrated, with notes on morphological variability observed. Larval and early juvenile development was described to the crab I instar reared under controlled conditions of temperature and food supply. The abbreviated larval development invariably passed through two zoeal stages and the benthic megalopa stage. The larval development was completed without food supply, and food Artemia nauplii were first given after moult to the crab-I stage. Simplification and retarded development of the mouthparts are discussed as a function of lecithotrophy of these larvae and based on morphology no facultative feeding mode is suggested. Lecithotrophy in the Southern Ocean Lithodidae is discussed to be an adaptation allowing independence from seasonal food availability at high latitudes.</t>
  </si>
  <si>
    <t>Univ Southampton, Natl Oceanog Ctr, Sch Ocean &amp; Earth Sci, Southampton SO14 3ZH, Hants, England; British Antarctic Survey, NERC, Div Biol Sci, Cambridge CB3 0ET, England</t>
  </si>
  <si>
    <t>NERC National Oceanography Centre; University of Southampton; UK Research &amp; Innovation (UKRI); Natural Environment Research Council (NERC); NERC British Antarctic Survey</t>
  </si>
  <si>
    <t>Thatje, S (corresponding author), Univ Southampton, Natl Oceanog Ctr, Sch Ocean &amp; Earth Sci, European Way, Southampton SO14 3ZH, Hants, England.</t>
  </si>
  <si>
    <t>svth@noc.soton.ac.uk</t>
  </si>
  <si>
    <t>10.1007/s00300-006-0146-1</t>
  </si>
  <si>
    <t>WOS:000241219600004</t>
  </si>
  <si>
    <t>Jansen, S; Klaas, C; Krägefsky, S; von Harbou, L; Bathmann, U</t>
  </si>
  <si>
    <t>Jansen, Sandra; Klaas, Christine; Kraegefsky, Soeren; von Harbou, Lena; Bathmann, Ulrich</t>
  </si>
  <si>
    <t>Reproductive response of the copepod Rhincalanus gigas to an iron-induced phytoplankton bloom in the Southern Ocean</t>
  </si>
  <si>
    <t>POLAR FRONTAL ZONE; EGG-PRODUCTION; CALANUS-FINMARCHICUS; CALANOIDES-ACUTUS; PRESERVED SAMPLES; ATLANTIC SECTOR; AUSTRAL SUMMER; FERTILIZATION; TEMPERATURE; PREDICTION</t>
  </si>
  <si>
    <t>The reproductive response of Rhincalanus gigas to the build up of a phytoplankton bloom in the Southern Ocean was studied during the European iron fertilization experiment (EIFEX). Egg production experiments were conducted over a period of approximately 5 weeks during development of a diatom dominated bloom. R. gigas showed a clear response to increasing chlorophyll a concentrations and the total egg production of the R. gigas population was highest just after the peak of the bloom at day 29 after fertilization. The average peak production was 50 eggs female(-1) day(-1). The percentage of egg producing females increased from about 0 to 90% during the course of the experiment. Accordingly, the maturation of the gonads reflected the positive response towards enhanced chlorophyll a concentrations. The fast reproductive response indicate that R. gigas was food limited during the period of this study in the Antarctic Polar Front region (APF).</t>
  </si>
  <si>
    <t>Jansen, S (corresponding author), Alfred Wegener Inst Polar &amp; Marine Res, Handelshafen 12, D-27570 Bremerhaven, Germany.</t>
  </si>
  <si>
    <t>sjansen@awi-bremerhaven.de</t>
  </si>
  <si>
    <t>Bathmann, Ulrich/ISV-4351-2023</t>
  </si>
  <si>
    <t>Klaas, Christine/0000-0002-6679-8970</t>
  </si>
  <si>
    <t>10.1007/s00300-006-0147-0</t>
  </si>
  <si>
    <t>WOS:000241219600005</t>
  </si>
  <si>
    <t>Van de Putte, A; Flores, H; Volckaert, F; van Franeker, JA</t>
  </si>
  <si>
    <t>Van de Putte, Anton; Flores, Hauke; Volckaert, Filip; van Franeker, Jan Andries</t>
  </si>
  <si>
    <t>Energy content of Antarctic mesopelagic fishes: Implications for the marine food web</t>
  </si>
  <si>
    <t>SOUTH SHETLAND ISLANDS; KING-GEORGE-ISLAND; PROXIMATE COMPOSITION; FATTY-ACID; FUR SEALS; ARCTOCEPHALUS-GAZELLA; ELECTRONA-ANTARCTICA; COMMUNITY STRUCTURE; FEEDING ECOLOGY; OPEN WATERS</t>
  </si>
  <si>
    <t>For a better understanding of the role of mesopelagic fish in the Southern Ocean food web, the energy and water content of Bathylagus antarcticus, Electrona antarctica and Gymnoscopelus braueri from the Lazarev Sea were investigated. Mean dry weight energy content of B. antarcticus (20.4 kJ g(-1)) was significantly lower than in E. antarctica and G. braueri (both 29.4 kJ g(-1)). In E. antarctica, an increase of dry weight energy density with age was evident from 26.9 kJ g(-1) in juveniles of less than 1 year of age to 32.0 kJ g(-1) in 3-year-old fish. Water content decreased with size in all three species. Abundant high-energy species such as E. antarctica are at a key position in the food web. Due to a marked influence of age on energy content, population structure can be an important variable in estimates of energy fluxes in the Southern Ocean ecosystem.</t>
  </si>
  <si>
    <t>Catholic Univ Louvain, Aquat Ecol Lab, B-3000 Louvain, Belgium; IMARES Texel, NL-1790 AD Den Burg, Netherlands; Univ Groningen, Dept Marine Biol, NL-9750 AA Haren, Netherlands</t>
  </si>
  <si>
    <t>Universite Catholique Louvain; Wageningen University &amp; Research; University of Groningen</t>
  </si>
  <si>
    <t>Van de Putte, A (corresponding author), Catholic Univ Louvain, Aquat Ecol Lab, Ch Deberiotstr 32, B-3000 Louvain, Belgium.</t>
  </si>
  <si>
    <t>anton.vandeputte@bio.kuleuven.be</t>
  </si>
  <si>
    <t>Volckaert, Filip/AAC-7691-2019; Van de Putte, Anton P/F-6877-2012; Van de Putte, Anton/S-3729-2019; Flores, Hauke/ABD-1888-2020</t>
  </si>
  <si>
    <t>Van de Putte, Anton/0000-0003-1336-5554; Flores, Hauke/0000-0003-1617-5449</t>
  </si>
  <si>
    <t>10.1007/s00300-006-0148-z</t>
  </si>
  <si>
    <t>WOS:000241219600006</t>
  </si>
  <si>
    <t>Forcada, J; Robinson, SL</t>
  </si>
  <si>
    <t>Forcada, Jaume; Robinson, Sarah L.</t>
  </si>
  <si>
    <t>Population abundance, structure and turnover estimates for leopard seals during winter dispersal combining tagging and photo-identification data</t>
  </si>
  <si>
    <t>ANTARCTIC FUR SEALS; HYDRURGA-LEPTONYX; CAPTURE-RECAPTURE; PHOTOGRAPHIC IDENTIFICATION; SEASONAL OCCURRENCE; PUP PRODUCTION; ISLAND; VARIABILITY; ASSOCIATION; GROWTH</t>
  </si>
  <si>
    <t>Winter dispersal in leopard seals is poorly understood because of its low density in most of its range. By combining photo-identification and tagging data from Bird Island, South Georgia, in mark-recapture models, leopard seal abundance over the winter of 2005 was estimated as 118 (95% CI: 78-179). Seasonal residents arrived earlier and stayed longer around the island (27 days; 95% CI: 23-32) and their numbers were low and stable over the winter ((x) over bar = 12;95%CI:5-28) Most of the seals (81; 95% CI: 31-130) were young transients, stayed only 1-7 days, and arrived later in the season. This suggests (1) very low predatory pressure upon the locally abundant prey populations; (2) two different patterns of winter movements: a winter migration in adult seals with long-term site fidelity, and large numbers of juveniles in dispersal possibly attracted by locally abundant prey colonies, and potentially influenced by increased environmental stress.</t>
  </si>
  <si>
    <t>Forcada, J (corresponding author), British Antarctic Survey, NERC, Madingley Rd, Cambridge CB3 0ET, England.</t>
  </si>
  <si>
    <t>jfor@bas.ac.uk</t>
  </si>
  <si>
    <t>Forcada, Jaume/GYU-0677-2022</t>
  </si>
  <si>
    <t>10.1007/s00300-006-0149-y</t>
  </si>
  <si>
    <t>WOS:000241219600007</t>
  </si>
  <si>
    <t>Mazzei, F; Ghigliotti, L; Lecointre, G; Ozouf-Costaz, C; Coutanceau, JP; Detrich, W; Pisano, E</t>
  </si>
  <si>
    <t>Mazzei, Federico; Ghigliotti, Laura; Lecointre, Guillaume; Ozouf-Costaz, Catherine; Coutanceau, Jean-Pierre; Detrich, William, III; Pisano, Eva</t>
  </si>
  <si>
    <t>Karyotypes of basal lineages in notothenioid fishes:: the genus Bovichtus</t>
  </si>
  <si>
    <t>PERCIFORMES; TELEOSTEI; PISCES</t>
  </si>
  <si>
    <t>Using comparative cytogenetic techniques, we characterized the chromosomes of fishes from the family Bovichtidae, the basal lineage of the largely Antarctic suborder Notothenioidei. We focused on three Sub-Antarctic species of the genus Bovichtus that differ greatly in their circumpolar distributions: B. diacanthus (Tristan da Cunha Island Group), B. variegatus (New Zealand) and B. angustifrons (Tasmania). Chromosomes were analyzed both by conventional karyotyping and by cytogenetic mapping of ribosomal genes using fluorescence in situ hybridization. The three species displayed a strongly conserved karyotype consisting entirely of telocentric chromosomes (diploid number = 48; Fundamental Number = 48), in agreement with our previously published hypothesis that the bovichtid karyotype is the basal state for notothenioid fishes. The chromosomal distribution of ribosomal genes differed from those of most notothenioid species studied to date, with the 45S and 5S genes separated on two different chromosome pairs. Separation of two classes of ribosomal genes is the most widespread condition in teleosts, including the bovichtids. Most notothenioid lineages on the other hand exhibit a derived consolidation of these genes.</t>
  </si>
  <si>
    <t>Univ Genoa, Dept Biol, I-16132 Genoa, Italy; CNRS, Museum Natl Hist Nat, Dept Systemat &amp; Evolut, UMR 7138, F-75005 Paris, France; Northeastern Univ, Dept Biol, Boston, MA 02115 USA</t>
  </si>
  <si>
    <t>University of Genoa; Centre National de la Recherche Scientifique (CNRS); CNRS - National Institute for Biology (INSB); Museum National d'Histoire Naturelle (MNHN); Sorbonne Universite; Northeastern University</t>
  </si>
  <si>
    <t>Pisano, E (corresponding author), Univ Genoa, Dept Biol, Viale Benedetto XV 5, I-16132 Genoa, Italy.</t>
  </si>
  <si>
    <t>pisano@unige.it</t>
  </si>
  <si>
    <t>Ghigliotti, Laura/AAN-6843-2021; Ghigliotti, Laura/J-3076-2012</t>
  </si>
  <si>
    <t>Ghigliotti, Laura/0000-0003-2139-1381;</t>
  </si>
  <si>
    <t>10.1007/s00300-006-0151-4</t>
  </si>
  <si>
    <t>WOS:000241219600009</t>
  </si>
  <si>
    <t>Waller, CL; Worland, MR; Convey, P; Barnes, DKA</t>
  </si>
  <si>
    <t>Waller, C. L.; Worland, M. R.; Convey, P.; Barnes, D. K. A.</t>
  </si>
  <si>
    <t>Ecophysiological strategies of Antarctic intertidal invertebrates faced with freezing stress</t>
  </si>
  <si>
    <t>COLD-HARDINESS; TOLERANCE; GLYCOPROTEINS; TEMPERATURES; COLLEMBOLA; INSECTS; LAND</t>
  </si>
  <si>
    <t>Recent studies have revealed a previously unanticipated level of biodiversity present in the Antarctic littoral. Here, we report research on the ecophysiological strategies adopted by intertidal species that permit them to survive in this environment, presenting cold-tolerance data for the widest range of invertebrates published to date from the Antarctic intertidal zone. We found significant differences in levels of cold tolerance between species within this zone. However, and contrary to expectations, intraspecific comparisons of subtidal and intertidal groups of eight species found significant differences between groups in only three species. One species, the nemertean Antarctonemertes validum, showed evidence of the presence of antifreeze proteins (thermal hysteresis proteins), with 1.4 degrees C of thermal hysteresis measured in its haemolymph. We found a strong inverse relationship across species between mass and supercooling point, and fitted a power law model to describe the data. The scaling exponent (0.3) in this model suggests a relationship between an animal's supercooling point and its linear dimensions.</t>
  </si>
  <si>
    <t>Waller, CL (corresponding author), British Antarctic Survey, NERC, Madingley Rd,High Cross, Cambridge CB3 0ET, England.</t>
  </si>
  <si>
    <t>CATHW@pcmail.nerc-bas.ac.uk</t>
  </si>
  <si>
    <t>Convey, Peter/AAV-5728-2020</t>
  </si>
  <si>
    <t>Convey, Peter/0000-0001-8497-9903; Waller, Catherine L/0000-0002-0836-3223</t>
  </si>
  <si>
    <t>10.1007/s00300-006-0152-3</t>
  </si>
  <si>
    <t>WOS:000241219600010</t>
  </si>
  <si>
    <t>Jia, L; Ge, MF; Xu, YF; Du, L; Zhuang, GS; Wang, DX</t>
  </si>
  <si>
    <t>Jia Long; Ge Maofa; Xu Yongfu; Du Lin; Zhuang Guoshun; Wang Dianxun</t>
  </si>
  <si>
    <t>Advances in atmospheric ozone chemistry</t>
  </si>
  <si>
    <t>PROGRESS IN CHEMISTRY</t>
  </si>
  <si>
    <t>ozone chemistry; stratosphere; troposphere; photochemistry; heterogeneous reactions</t>
  </si>
  <si>
    <t>HETEROGENEOUS CHEMISTRY; TROPOSPHERIC OZONE; ARCTIC OZONE; GAS-PHASE; DUST; ABSORPTION; SATELLITE; RECOVERY; CHLORINE; AEROSOLS</t>
  </si>
  <si>
    <t>Ozone is key species in atmospheric chemistry. Stratospheric ozone is considered to be a protective umbrella of earth life because it absorbs biologically harmful ultraviolet radiation from the sun. In the natural air of the troposphere a suitable amount of ozone is beneficial to clean air. However I due to the increase in the emission of ozone precursors in the troposphere, particularly in large cities, the generated ozone with high concentrations can lead to severe pollution, which is harmful to humans, animals, plants and ecological environment. Studies of ozone atmospheric chemistry are generally carried out in terms of the combination of field observations, simulation experiments using smog chamber in the laboratory and numerical simulations on the computer. The further research on atmospheric ozone chemistry is very helpful not only in understanding oxidation processes in the atmosphere and self-cleaning capacity on the regional and global scale, but also in providing scientific basis and methods for pollution controlling in the troposphere. This paper summarizes the progress in the ozone chemistry in recent years, and discusses the relations between ozone and main environmental problems that human beings are facing with. The emphasis is placed on reviewing the ozone hole in the Antarctic, low values of ozone in the middle latitudes and the mechanism of depletion of ozone in the Arctic, and their development trends in recent years. The coupling relations of ozone with atmospheric photochemistry and aerosols are reviewed. Moreover, according to real situations in China, some important scientific problems are put forward for the future research on atmospheric ozone chemistry.</t>
  </si>
  <si>
    <t>Beijing Normal Univ, Ctr Atmospher Environm Study, Beijing 100875, Peoples R China; Chinese Acad Sci, Inst Chem, Beijing Natl Lab Mol Sci, Beijing 100080, Peoples R China; Chinese Acad Sci, Inst Atmospher Phys, State Lab Atmopher Boundary Layer Phys &amp; Atmosphe, Beijing 100029, Peoples R China</t>
  </si>
  <si>
    <t>Beijing Normal University; Chinese Academy of Sciences; Institute of Chemistry, CAS; Chinese Academy of Sciences; Institute of Atmospheric Physics, CAS</t>
  </si>
  <si>
    <t>Jia, L (corresponding author), Beijing Normal Univ, Ctr Atmospher Environm Study, Beijing 100875, Peoples R China.</t>
  </si>
  <si>
    <t>gemaofa@iccas.ac.cn</t>
  </si>
  <si>
    <t>Du, Lin/D-3090-2012; Jia, Long/AAH-6127-2020</t>
  </si>
  <si>
    <t>Du, Lin/0000-0001-8208-0558; Jia, Long/0000-0002-9050-723X</t>
  </si>
  <si>
    <t>CHINESE ACAD SCIENCES</t>
  </si>
  <si>
    <t>NO. 33 BEISIHUANXILU, ZHONGGUANCUN, BEIJING 100080, PEOPLES R CHINA</t>
  </si>
  <si>
    <t>1005-281X</t>
  </si>
  <si>
    <t>PROG CHEM</t>
  </si>
  <si>
    <t>Prog. Chem.</t>
  </si>
  <si>
    <t>Chemistry, Multidisciplinary</t>
  </si>
  <si>
    <t>110OE</t>
  </si>
  <si>
    <t>WOS:000242387400019</t>
  </si>
  <si>
    <t>Mazzarella, L; Vergara, A; Vitagliano, L; Merlino, A; Bonomi, G; Scala, S; Verde, C; Di Prisco, G</t>
  </si>
  <si>
    <t>Mazzarella, Lelio; Vergara, Alessandro; Vitagliano, Luigi; Merlino, Antonello; Bonomi, Giovanna; Scala, Sonia; Verde, Cinzia; Di Prisco, Guido</t>
  </si>
  <si>
    <t>High resolution crystal structure of deoxy hemoglobin from Trematomus bernacchii at different pH values:: The role of histidine residues in modulating the strength of the root effect</t>
  </si>
  <si>
    <t>PROTEINS-STRUCTURE FUNCTION AND BIOINFORMATICS</t>
  </si>
  <si>
    <t>root effect; high resolution; cooperativity; pH modulation</t>
  </si>
  <si>
    <t>FISH PAGOTHENIA-BERNACCHII; STATE; MECHANISMS; EVOLUTION; NEWNESI</t>
  </si>
  <si>
    <t>The Root effect is a widespread property in fish hemoglobins (Hbs) that produces a drastic reduction of cooperativity and oxygen-binding ability at acidic pH. Here, we report the high-resolution structure of the deoxy form of Hb isolated from the Antarctic fish Trematomus bernacchii (HbTb) crystallized at pH 6.2 and 8.4. The structure at acidic pH has been previously determined at a moderate resolution (Ito et al., J Mol Biol 1995;250:648-658). Our results provide a clear picture of the events occurring upon the pH increase from 6.2 to 8.4, observed within a practically unchanged crystal environment. In particular, at pH 8.4, the interaspartic hydrogen bond at the alpha(1)beta(2) interface is partially broken, suggesting a pK(a) close to 8.4 for Asp95 alpha. In addition, a detailed survey of the histidine modifications, caused by the change in pH, also indicates that at least three hot regions of the molecule are modified (E beta helix, C beta-tail, CD alpha corner) and can be considered to be involved at various levels in the release of the Root protons. Most importantly, at the CD alpha corner, the break of the salt bridge Asp48 alpha-His55 alpha allows us to describe a detailed mechanism that transmits the modification from the CD alpha corner far to the a heme. More generally, the results shed light on the role played by the histidine residues in modulating the strength of the Root effect and also support the emerging idea that the structural determinants, at least for a part of the Root effect, are specific of each Hb endowed with this property.</t>
  </si>
  <si>
    <t>Univ Naples Federico II, Dipartimento Chim, I-80126 Naples, Italy; CNR, Ist Biostrut &amp; Biommagini, I-80134 Naples, Italy; CNR, Ist Biochim Prot, I-80131 Naples, Italy</t>
  </si>
  <si>
    <t>University of Naples Federico II; Consiglio Nazionale delle Ricerche (CNR); Consiglio Nazionale delle Ricerche (CNR); Istituto di Biochimica delle Proteine (IBP-CNR)</t>
  </si>
  <si>
    <t>Mazzarella, L (corresponding author), Univ Naples Federico II, Dipartimento Chim, Complesso Univ Monte S Angelo,Via Cinthia, I-80126 Naples, Italy.</t>
  </si>
  <si>
    <t>lelio.mazzarella@unina.it</t>
  </si>
  <si>
    <t>Merlino, Antonello/AAI-2114-2020; Vergara, Alessandro/C-4435-2013</t>
  </si>
  <si>
    <t>Merlino, Antonello/0000-0002-1045-7720; Vergara, Alessandro/0000-0003-4135-0245; VERDE, Cinzia/0000-0001-6185-282X</t>
  </si>
  <si>
    <t>0887-3585</t>
  </si>
  <si>
    <t>PROTEINS</t>
  </si>
  <si>
    <t>Proteins</t>
  </si>
  <si>
    <t>10.1002/prot.21114</t>
  </si>
  <si>
    <t>087NI</t>
  </si>
  <si>
    <t>WOS:000240748700020</t>
  </si>
  <si>
    <t>Narcisi, B; Petit, JR; Tiepolo, M</t>
  </si>
  <si>
    <t>Narcisi, Biancamaria; Petit, Jean Robert; Tiepolo, Massimo</t>
  </si>
  <si>
    <t>A volcanic marker (92 ka) for dating deep east Antarctic ice cores</t>
  </si>
  <si>
    <t>TEPHRA LAYERS; SIPLE DOME; RECORD</t>
  </si>
  <si>
    <t>Tephra layers recorded in East Antarctic ice enable reliable linking over long distances and, when correlated with well-dated eruptions in the source area, provide absolute ages for improving the accuracy of model-based ice chronology. We used chronostratigraphic information and grain-specific geochemical data (major elements by electron microprobe and trace elements by LA-ICP-MS) to suggest that a tephra layer from the EPICA-Dome C and Dome Fuji ice cores is the distal counterpart of the Mt. Berlin (Marie Byrd Land province, West Antarctica) pyroclastic unit 40Ar/39Ar dated to 92.5 +/- 2.0 and 92.2 +/- 0.9 ka. Such one-to-one correlation, which is proposed here for the first time for the East Antarctic deep climatic archives, provides independent age constraints for glaciological modelling of core timescales. (c) 2006 Elsevier Ltd. All rights reserved.</t>
  </si>
  <si>
    <t>ENEA, I-00060 Rome, Italy; CNRS, LGGE, F-38402 St Martin Dheres, France; CNR, IGG, Sez Pavia, I-27100 Pavia, Italy</t>
  </si>
  <si>
    <t>Italian National Agency New Technical Energy &amp; Sustainable Economics Development; Communaute Universite Grenoble Alpes; Universite Grenoble Alpes (UGA); Centre National de la Recherche Scientifique (CNRS); Consiglio Nazionale delle Ricerche (CNR); Istituto di Geoscienze e Georisorse (IGG-CNR)</t>
  </si>
  <si>
    <t>Narcisi, B (corresponding author), ENEA, Via Anguillarese 301, I-00060 Rome, Italy.</t>
  </si>
  <si>
    <t>narcisi@casaccia.enea.it</t>
  </si>
  <si>
    <t>Tiepolo, Massimo/I-5825-2017</t>
  </si>
  <si>
    <t>Tiepolo, Massimo/0000-0001-7575-8105</t>
  </si>
  <si>
    <t>1873-457X</t>
  </si>
  <si>
    <t>10.1016/j.quascirev.2006.07.009</t>
  </si>
  <si>
    <t>123HF</t>
  </si>
  <si>
    <t>WOS:000243286300003</t>
  </si>
  <si>
    <t>Möller, P; Lubinski, DJ; Ingólfsson, O; Forman, SL; Seidenkrantz, MS; Bolshiyanov, DY; Lokrantz, H; Antonov, O; Pavlov, M; Ljung, K; Zeeberg, J; Andreev, A</t>
  </si>
  <si>
    <t>Moller, Per; Lubinski, David J.; Ingolfsson, Olafur; Forman, Steven L.; Seidenkrantz, Marit-Solveig; Bolshiyanov, Dimitry Yu.; Lokrantz, Hanna; Antonov, Oleg; Pavlov, Maxim; Ljung, Karl; Zeeberg, JaapJan; Andreev, Andrei</t>
  </si>
  <si>
    <t>Severnaya Zemlya, Arctic Russia:: a nucleation area for Kara Sea ice sheets during the Middle to Late Quaternary</t>
  </si>
  <si>
    <t>WESTERN YAMAL PENINSULA; LAST GLACIAL MAXIMUM; TAYMYR PENINSULA; NORTHERN EURASIA; MARGINAL ZONE; LUMINESCENCE; PLEISTOCENE; SIBERIA; SEDIMENTS; HISTORY</t>
  </si>
  <si>
    <t>Quaternary glacial stratigraphy and relative sea-level changes reveal at least four expansions of the Kara Sea ice sheet over the Severnaya Zemlya Archipelago at 79 degrees N in the Russian Arctic, as indicated from tills interbedded with marine sediments, exposed in stratigraphic superposition, and from raised-beach sequences that occur at altitudes up to 140 m a.s.l. Chronologic control is provided by AMS C-14, electron-spin resonance, green-stimulated luminescence, and aspartic-acid geochronology. Major glaciations followed by deglaciation and marine inundation occurred during MIS 10-9, MIS 8-7, MIS 6-5e and MIS 5d-3. The MIS 6-5e event, associated with the high marine limit, implies ice-sheet thickness of &gt; 2000m only 200km from the deep Arctic Ocean, consistent with published evidence of ice grounding at similar to 1000m water depth in the central Arctic Ocean. Till fabrics and glacial tectonics record repeated expansions of local ice caps exclusively, suggesting wet-based ice cap advance followed by cold-based regional ice-sheet expansion. Local ice caps over highland sites along the perimeter of the shallow Kara Sea, including the Byrranga Mountains, appear to have repeatedly fostered initiation of a large Kara Sea ice sheet, with exception of the Last Glacial Maximum (MIS 2), when Kara Sea ice did not impact Severnaya Zemlya and barely graced northernmost Taymyr Peninsula. (c) 2006 Elsevier Ltd. All rights reserved.</t>
  </si>
  <si>
    <t>Lund Univ, Dept Geol, GeoBiosphere Sci Ctr, SE-22362 Lund, Sweden; Univ Colorado, Inst Artic &amp; Alpine Res, Boulder, CO 80309 USA; Univ Iceland, Dept Geog &amp; Geol, IS-101 Reykjavik, Iceland; Univ Illinois, Dept Earth &amp; Environm Sci, Chicago, IL 60607 USA; Aarhus Univ, Dept Earth Sci, DK-8000 Aarhus, Denmark; Arctic &amp; Antarctic Res Inst, St Petersburg 199397, Russia; Geol Survey Sweden, SE-75128 Uppsala, Sweden; VSEGEI AP Karpinsky All Russia Res Geol Inst, St Petersburg 199106, Russia; Netherlands Inst Fishery Res, RIVO, NL-1970 AB Ijmuiden, Netherlands; Forsch Stelle Potsdam, Alfred Wegener Inst Polar &amp; Meeresforsch, D-14473 Potsdam, Germany</t>
  </si>
  <si>
    <t>Lund University; University of Colorado System; University of Colorado Boulder; University of Iceland; University of Illinois System; University of Illinois Chicago; University of Illinois Chicago Hospital; Aarhus University; Arctic &amp; Antarctic Research Institute; A.P. Karpinsky Russian Geological Research Institute (VSEGEI); Helmholtz Association; Alfred Wegener Institute, Helmholtz Centre for Polar &amp; Marine Research</t>
  </si>
  <si>
    <t>Möller, P (corresponding author), Lund Univ, Dept Geol, GeoBiosphere Sci Ctr, Solvegatan 12, SE-22362 Lund, Sweden.</t>
  </si>
  <si>
    <t>per.moller@geol.lu.se</t>
  </si>
  <si>
    <t>Seidenkrantz, Marit-Solveig/A-3451-2012; Möller, Per/AAJ-7963-2020; Forman, Steven/ABD-7720-2021; Bolshiyanov, Dmitriy D.Yu./N-2254-2015; Seidenkrantz, Marit-Solveig/T-7198-2019; Andreev, Andrei A/J-2701-2015; Павлов, Максим/N-9444-2015; Ingolfsson, Olafur/L-8950-2015</t>
  </si>
  <si>
    <t>Möller, Per/0000-0001-5365-2668; Andreev, Andrei A/0000-0002-8745-9636; Павлов, Максим/0000-0003-2749-0153; LUBINSKI, DAVID/0000-0001-8167-2367; Seidenkrantz, Marit-Solveig/0000-0002-1973-5969; Ingolfsson, Olafur/0000-0001-8143-2005; Ljung, Karl/0000-0002-4290-7933; Forman, Steven/0000-0002-2080-7915</t>
  </si>
  <si>
    <t>10.1016/j.quascirev.2006.02.016</t>
  </si>
  <si>
    <t>WOS:000243286300017</t>
  </si>
  <si>
    <t>Martinez, P; Lamy, F; Robinson, RR; Pichevin, L; Billy, I</t>
  </si>
  <si>
    <t>Martinez, Philippe; Lamy, Frank; Robinson, Rebecca R.; Pichevin, Laetitia; Billy, Isabelle</t>
  </si>
  <si>
    <t>Atypical δ15N variations at the southern boundary of the East Pacific oxygen minimum zone over the last 50 ka</t>
  </si>
  <si>
    <t>ARABIAN SEA DENITRIFICATION; TROPICAL NORTH PACIFIC; GLOBAL CLIMATE-CHANGE; MILLENNIAL-SCALE; NITROGEN ISOTOPE; ATMOSPHERIC CO2; LATE QUATERNARY; GLACIAL/INTERGLACIAL VARIATIONS; PRODUCTIVITY VARIATIONS; NUTRIENT UTILIZATION</t>
  </si>
  <si>
    <t>We report a nitrogen isotope record (ODP Site 1233) from the southern Chile margin at 41 degrees S. The site is located slightly south of the southern boundary of the Peru-Chile upwelling system and the associated oxygen minimum zone off Peru and northern Chile. We show that our nitrogen isotope record, from the time interval 0-50 calendar kiloyears before present (ka B.P.), bears an atypical pattern both in shape and timing when compared with records obtained from either the continental margin of the eastern Pacific or the Subantarctic Zone (SAZ) of the Southern Ocean. The delta N-15 values at Site 1233 are relatively high throughout the record, varying between 9 parts per thousand. and 13 parts per thousand. The iriajor features are a pronounced delta N-15 increase at the beginning of the deglaciation, a maximum from 19 to 10 ka B.P.; thereafter a large decrease during the early Holocene, and millenial scale oscillations showing an Antarctic timing. We propose that the record results from an amalgam of low-latitude and high-latitude processes. Low-latitude processes, including a stronger advection signal of heavy nitrates from the denitrifying zones off Peru and northern Chile, would explain the timing of the deglaciation rise and the heaviest values found over this interval, excluding the Antarctic Cold Reversal period. The overall differences between site 1233 and records from Peru and northwest American margins suggest however that the origin of the delta N-15 signal off Chile is largely controlled by hydrologic and climatic changes in the Southern Ocean. We propose that the interplay between nutrient demand in the SAZ and latitudinal shifts of hydrologic fronts controlled both the concentrations and the isotopic signature of the remaining nitrate delivered to the Chile margin. Then, the glacial surface waters of the southern Chile margin were likely lower in nitrate concentration and bear a higher delta N-15 than during interglacial periods. (c) 2006 Elsevier Ltd. All rights reserved.</t>
  </si>
  <si>
    <t>Univ Bordeaux 1, CNRS, UMR 5805, EPOC, F-33405 Talence, France; Geoforschungszentrum Potsdam, D-14473 Potsdam, Germany; Univ Rhode Isl, Grad Sch Oceanog, Narragansett, RI 02882 USA; Univ Edinburgh, Grant Inst, Sch Geosci, Edinburgh EH10 3JW, Midlothian, Scotland</t>
  </si>
  <si>
    <t>Universite de Bordeaux; Centre National de la Recherche Scientifique (CNRS); CNRS - National Institute for Earth Sciences &amp; Astronomy (INSU); Helmholtz Association; Helmholtz-Center Potsdam GFZ German Research Center for Geosciences; University of Rhode Island; University of Edinburgh</t>
  </si>
  <si>
    <t>Martinez, P (corresponding author), Univ Bordeaux 1, CNRS, UMR 5805, EPOC, Ave Fac, F-33405 Talence, France.</t>
  </si>
  <si>
    <t>p.martinez@epoc.u-bordeaux1.fr</t>
  </si>
  <si>
    <t>Lamy, Frank/H-3611-2014</t>
  </si>
  <si>
    <t>Lamy, Frank/0000-0001-5952-1765; Robinson, Rebecca/0000-0002-8072-1603; Martinez, Philippe/0000-0002-9825-2032; Pichevin, Laetitia/0000-0003-2685-6926</t>
  </si>
  <si>
    <t>10.1016/j.quascirev.2006.04.009</t>
  </si>
  <si>
    <t>WOS:000243286300022</t>
  </si>
  <si>
    <t>Caburlotto, A; De Santis, L; Zanolla, C; Camerlenghi, A; Dix, JK</t>
  </si>
  <si>
    <t>Caburlotto, A.; De Santis, L.; Zanolla, C.; Camerlenghi, A.; Dix, J. K.</t>
  </si>
  <si>
    <t>New insights into Quaternary glacial dynamic changes on the George V Land continental margin (East Antarctica)</t>
  </si>
  <si>
    <t>PENINSULA PACIFIC MARGIN; BOTTOM WATER PRODUCTION; DEEP-SEA CHANNEL; SEDIMENTARY PROCESSES; STRATIGRAPHIC EVIDENCE; ECHO CHARACTER; WEDDELL SEA; PRYDZ BAY; SHELF; RISE</t>
  </si>
  <si>
    <t>The continental margin of the George V Land represents the seaward termination of one of the largest sub-glacial basins (the Wilkes Basin) of the East Antarctic lee Sheet (EAIS) and hence is a potentially useful site for the investigation of the Cenozoic glacial history of Antarctica. Because the seafloor morphology relates strictly to recent glacial marine sedimentary processes, we have compiled all available echo-soundings data collected until the year 2001 and integrated the data set with satellite altimetry data. As a result, we have produced a new bathymetric map of the margin, covering an area of more than 80,000 km(2) with a spatial resolution of about 1 km. The bathymetric data have been integrated with sub-bottom profiler data with the purpose of defining sedimentary processes and their variations during the Quaternary. The continental shelf of the Wilkes Land margin is characterised by alternating banks and glacial troughs connected to sub-marine canyons that cut into the continental slope. Our study focussed on the continental rise, where asymmetrical ridges alternate with large deep-sea channels. The ridges have a long gentle eastern side and short steep western side, with axis elongated approximately in north-south direction, perpendicular to the margin. The channels represent the main sediment drainage pattern feeding the ridge depositional system found along the continental rise. The sediment is supplied to the continental shelf edge by ice sheets, and sediment gravity flows are considered the main process for sediment supply to the rise. The modern sedimentary environment of the deep margin is affected by turbiditic down-slope sediment transfer with a minor contribution from along-slope contour currents. The WEGA channel is currently affected by transport and settling of sediment through High-Salinity Shelf Water (HSSW), originating on the continental shelf. We infer that thermohaline circulation has contributed to sediment transport and deposition since the mid-Pleistocene. (c) 2006 Elsevier Ltd. All rights reserved.</t>
  </si>
  <si>
    <t>Ist Nazl Oceanog &amp; Geofis Sperimentale, I-34010 Sgonico, TS, Italy; Univ Barcelona, GRC Geosci Marines, ICREA, E-08028 Barcelona, Spain; Natl Oceanog Ctr, Southampton SO14 3ZH, Hants, England</t>
  </si>
  <si>
    <t>Istituto Nazionale di Oceanografia e di Geofisica Sperimentale; University of Barcelona; ICREA; NERC National Oceanography Centre</t>
  </si>
  <si>
    <t>Caburlotto, A (corresponding author), Ist Nazl Oceanog &amp; Geofis Sperimentale, Borgo Grotta Gigante 42-C, I-34010 Sgonico, TS, Italy.</t>
  </si>
  <si>
    <t>acaburlotto@ogs.trieste.it</t>
  </si>
  <si>
    <t>Dix, Justin/X-9344-2019; Camerlenghi, Angelo/C-8816-2011; Camerlenghi, Angelo/AAG-3852-2019; Camerlenghi, Angelo/O-1593-2013</t>
  </si>
  <si>
    <t>Dix, Justin/0000-0003-2905-5403; Camerlenghi, Angelo/0000-0002-8128-9533; Camerlenghi, Angelo/0000-0002-8128-9533; caburlotto, andrea/0000-0001-7259-6884; De Santis, Laura/0000-0002-7752-7754</t>
  </si>
  <si>
    <t>10.1016/j.quascirev.2006.06.012</t>
  </si>
  <si>
    <t>WOS:000243286300023</t>
  </si>
  <si>
    <t>Brévière, E; Metzl, N; Poisson, A; Tilbrook, B</t>
  </si>
  <si>
    <t>Breviere, Emily; Metzl, Nicolas; Poisson, Alain; Tilbrook, Bronte</t>
  </si>
  <si>
    <t>Changes of the oceanic CO2 sink in the Eastern Indian sector of the Southern Ocean</t>
  </si>
  <si>
    <t>TELLUS SERIES B-CHEMICAL AND PHYSICAL METEOROLOGY</t>
  </si>
  <si>
    <t>7th International Carbon Dioxide Conference (CO2)</t>
  </si>
  <si>
    <t>SEP 25-30, 2005</t>
  </si>
  <si>
    <t>Boulder, CO</t>
  </si>
  <si>
    <t>ULTRAVIOLET-RADIATION; PHYTOPLANKTON BIOMASS; PARTIAL-PRESSURE; OZONE DEPLETION; SURFACE WATERS; CARBON-DIOXIDE; IRON; GROWTH; FLUX; PHOTOSYNTHESIS</t>
  </si>
  <si>
    <t>Changes in the carbon dioxide fugacity (fCO(2)) and air-sea CO2 flux observed in the Southern Ocean, south of Tasmania were analysed and compared for two different years: 1996/1997 and 2002/2003. The CO2 flux showed large and contrasting interannual changes in the permanent open ocean zone (POOZ, 53-61 degrees S) between the 2 yr where the oceanic CO2 sink increased from about -0.3 mmol m(-2) d(-1) in February 1997 to -20.6 mmol m(-2) d(-1) in February 2003. The strong sink in February 2003 was associated with increased phytoplankton biomass in this High-Nutrient, Low-Chlorophyll (HNLC) region. Three hypotheses that may have influenced the biomass and fCO(2) changes in the POOZ were investigated: sea surface temperature (SST) and El Nino/ Southern Oscillation (ENSO) event, total stratospheric ozone column and ultraviolet (UV) radiation, and atmospheric dust inputs. The strong CO2 sink in 2003 in the POOZ cannot be explained by the observed changes in SST or UV, but would be qualitatively consistent with the presence of episodic atmospheric dust inputs.</t>
  </si>
  <si>
    <t>Univ E Anglia, Sch Environm Sci, SOLAS Project Off, Norwich NR4 7TJ, Norfolk, England; Univ Paris 06, LOCEAN, IPSL, Paris, France; CSIRO, Marine &amp; Atmospher Res &amp; Antarctic Climate &amp; Ecos, Hobart, Tas 7001, Australia</t>
  </si>
  <si>
    <t>University of East Anglia; Sorbonne Universite; Universite Paris Cite; Museum National d'Histoire Naturelle (MNHN); Commonwealth Scientific &amp; Industrial Research Organisation (CSIRO)</t>
  </si>
  <si>
    <t>Brévière, E (corresponding author), Univ E Anglia, Sch Environm Sci, SOLAS Project Off, Norwich NR4 7TJ, Norfolk, England.</t>
  </si>
  <si>
    <t>e.breviere@uea.ac.uk</t>
  </si>
  <si>
    <t>Tilbrook, Bronte/W-4007-2019</t>
  </si>
  <si>
    <t>Tilbrook, Bronte/0000-0001-9385-3827; metzl, nicolas/0000-0002-1165-1074</t>
  </si>
  <si>
    <t>1600-0889</t>
  </si>
  <si>
    <t>TELLUS B</t>
  </si>
  <si>
    <t>Tellus Ser. B-Chem. Phys. Meteorol.</t>
  </si>
  <si>
    <t>10.1111/j.1600-0889.2006.00220.x</t>
  </si>
  <si>
    <t>095ZT</t>
  </si>
  <si>
    <t>WOS:000241347500011</t>
  </si>
  <si>
    <t>Kafanov, AI</t>
  </si>
  <si>
    <t>Kafanov, A. I.</t>
  </si>
  <si>
    <t>Principal stages in the Cenozoic diversification of shallow-water molluscan faunas in the North Pacific</t>
  </si>
  <si>
    <t>ZHURNAL OBSHCHEI BIOLOGII</t>
  </si>
  <si>
    <t>LATE NEOGENE; MIOCENE; MARINE</t>
  </si>
  <si>
    <t>Cluster analysis of bivalve species recorded in Cenozoic deposits in Sakhalin Island, western Kamchatka, Hokkaido, and California was used to determine geological age of the modem North Pacific biogeographic region and its constituent subregions (Japan-Mandchurian, Beringian, and Oregon-Sitkan). The North Pacific region developed during the Paleogene-Neogene transition due to Drake Passage opening to deep-water movement, formation of the deep-water Antarctic Circumpolar Current, and the change in climate from greenhouse to psychospheric. Differentiation of the three subregions within the North Pacific Region seems to have occurred in late Miocene-early Pliocene, about 5.6 millions years ago and was probably due to the flooding of the Bering Land Bridge and development of the present configuration of circulation in the North Pacific. In the Northwest Pacific, during Paleogene and early Neogene, the faunal diversification occurred more rapidly and was more extensive than in the Northeast Pacific.</t>
  </si>
  <si>
    <t>Kafanov, AI (corresponding author), RAS, FEB, AV Zhirumunsky Inst Marine Biol, Palachevsky 17, Vladivostok 690041, Russia.</t>
  </si>
  <si>
    <t>kafanov@mail.primorye.ru</t>
  </si>
  <si>
    <t>39 DIMITROVA UL., MOSCOW, 113095, RUSSIA</t>
  </si>
  <si>
    <t>0044-4596</t>
  </si>
  <si>
    <t>ZH OBSHCH BIOL</t>
  </si>
  <si>
    <t>Zhurnal Obshchei Biol.</t>
  </si>
  <si>
    <t>120PQ</t>
  </si>
  <si>
    <t>WOS:000243097600003</t>
  </si>
  <si>
    <t>Brunner, D; Staehelin, J; Maeder, JA; Wohltmann, I; Bodeker, GE</t>
  </si>
  <si>
    <t>Brunner, D.; Staehelin, J.; Maeder, J. A.; Wohltmann, I.; Bodeker, G. E.</t>
  </si>
  <si>
    <t>Variability and trends in total and vertically resolved stratospheric ozone based on the CATO ozone data set</t>
  </si>
  <si>
    <t>QUASI-BIENNIAL OSCILLATION; TERM SOLAR VARIABILITY; LONG-TERM; ANTARCTIC OZONE; NORTHERN-HEMISPHERE; PAYERNE SWITZERLAND; EXTRATROPICAL QBO; ATMOSPHERIC OZONE; COLUMN OZONE; NIMBUS 7</t>
  </si>
  <si>
    <t>Trends in ozone columns and vertical distributions were calculated for the period 1979-2004 based on the ozone data set CATO ( Candidoz Assimilated Three-dimensional Ozone) using a multiple linear regression model. CATO has been reconstructed from TOMS, GOME and SBUV total column ozone observations in an equivalent latitude and potential temperature framework and offers a pole to pole coverage of the stratosphere on 15 potential temperature levels. The regression model includes explanatory variables describing the influence of the quasi-biennial oscillation ( QBO), volcanic eruptions, the solar cycle, the Brewer-Dobson circulation, Arctic ozone depletion, and the increase in stratospheric chlorine. The effects of displacements of the polar vortex and jet streams due to planetary waves, which may significantly affect trends at a given geographical latitude, are eliminated in the equivalent latitude framework. The QBO shows a strong signal throughout most of the lower stratosphere with peak amplitudes in the tropics of the order of 10-20% ( peak to valley). The eruption of Pinatubo led to annual mean ozone reductions of 15-25% between the tropopause and 23 km in northern mid-latitudes and to similar percentage changes in the southern hemisphere but concentrated at altitudes below 17 km. Stratospheric ozone is elevated over a broad latitude range by up to 5% during solar maximum compared to solar minimum, the largest increase being observed around 30 km. This is at a lower altitude than reported previously, and no negative signal is found in the tropical lower stratosphere. The Brewer-Dobson circulation shows a dominant contribution to interannual variability at both high and low latitudes and accounts for some of the ozone increase seen in the northern hemisphere since the mid-1990s. Arctic ozone depletion significantly affects the high northern latitudes between January and March and extends its influence to the mid-latitudes during later months. The vertical distribution of the ozone trend shows distinct negative trends at about 18 km in the lower stratosphere with largest declines over the poles, and above 35 km in the upper stratosphere. A narrow band of large negative trends extends into the tropical lower stratosphere. Assuming that the observed negative trend before 1995 continued to 2004 cannot explain the ozone changes since 1996. A model accounting for recent changes in equivalent effective stratospheric chlorine, aerosols and Eliassen-Palm flux, on the other hand, closely tracks ozone changes since 1995.</t>
  </si>
  <si>
    <t>ETH, Inst Atmospher &amp; Climate Sci, Zurich, Switzerland; Alfred Wegener Inst Polar &amp; Marine Res, Potsdam, Germany; Natl Inst Water &amp; Atmospher Res, Hamilton, New Zealand</t>
  </si>
  <si>
    <t>Swiss Federal Institutes of Technology Domain; ETH Zurich; Helmholtz Association; Alfred Wegener Institute, Helmholtz Centre for Polar &amp; Marine Research; National Institute of Water &amp; Atmospheric Research (NIWA) - New Zealand</t>
  </si>
  <si>
    <t>Brunner, D (corresponding author), Swiss Fed Labs Mat Testing &amp; Res, Empa, Dubendorf, Switzerland.</t>
  </si>
  <si>
    <t>dominik.brunner@empa.ch</t>
  </si>
  <si>
    <t>Brunner, Dominik/GSI-5449-2022; Mäder, Jörg/A-4538-2008; Wohltmann, Ingo/C-1301-2010; Bodeker, Greg E/A-8870-2008; Brunner, Dominik/A-1255-2009; Brunner, Dominik/P-9520-2019</t>
  </si>
  <si>
    <t>Brunner, Dominik/0000-0002-4007-6902; Wohltmann, Ingo/0000-0003-4606-6788; Brunner, Dominik/0000-0002-4007-6902; Bodeker, Gregory/0000-0003-1094-5852</t>
  </si>
  <si>
    <t>OCT 31</t>
  </si>
  <si>
    <t>10.5194/acp-6-4985-2006</t>
  </si>
  <si>
    <t>100PU</t>
  </si>
  <si>
    <t>Green Accepted, gold, Green Published, Green Submitted</t>
  </si>
  <si>
    <t>WOS:000241681800001</t>
  </si>
  <si>
    <t>Chu, XZ; Espy, PJ; Nott, GJ; Diettrich, JC; Gardner, CS</t>
  </si>
  <si>
    <t>Chu, Xinzhao; Espy, Patrick J.; Nott, Graeme J.; Diettrich, Jan C.; Gardner, Chester S.</t>
  </si>
  <si>
    <t>Polar mesospheric clouds observed by an iron Boltzmann lidar at Rothera (67.5°S, 68.0°W), Antarctica from 2002 to 2005:: Properties and implications</t>
  </si>
  <si>
    <t>SPACE-SHUTTLE EXHAUST; NOCTILUCENT CLOUDS; DIURNAL-VARIATIONS; SOUTH-POLE; MESOPAUSE REGION; WATER-VAPOR; TEMPERATURE; ICE; MODEL; SUMMER</t>
  </si>
  <si>
    <t>Lidarobservations of polar mesospheric clouds (PMC) were made at Rothera, Antarctica, from December 2002 to March 2005. Overall, 128 hours of PMC were detected among the 459 hours of observations, giving a mean occurrence frequency of 27.9%. The mean PMC centroid altitude is 84.12 +/- 0.12 km, the mean PMC total backscatter coefficient is 2.34 +/- 0.11x10(-6) sr(-1), and the mean layer RMS width is 0.93 +/- 0.03 km. The distribution of PMC centroid altitudes over all observations is symmetric (nearly Gaussian), with the most probable altitude (similar to 84 km) near the center of the distribution. The distribution of PMC brightness is non-Gaussian and is dominated by weak PMC. The observed PMC altitudes at Rothera support the earlier lidar findings that Southern Hemispheric PMC are on average 1 km higher than corresponding Northern Hemispheric PMC, and higher PMC occur at higher latitudes. Significant interannual and diurnal variations are observed in PMC centroid altitude and brightness. Mean PMC altitude varies more than 1 km from one year to another. In addition, 24-hour, 12-hour, and 8-hour oscillations are clearly shown in PMC centroid altitude and brightness. The altitude distribution of PMC brightness peaks at a nearly constant altitude of 84 km, with weaker PMC found on either side of this altitude. The mean PMC altitudes averaged in brightness bins are anticorrelated with the PMC brightness, where weaker PMC occur at higher altitude and the PMC altitudes are proportional to the logarithm of the PMC brightness.</t>
  </si>
  <si>
    <t>Univ Colorado, Cooperat Inst Res Environm Sci, Boulder, CO 80309 USA; Univ Colorado, Dept Aerosp Engn Sci, Boulder, CO 80309 USA; British Antarctic Survey, Div Phys Sci, Cambridge CB3 0ET, England; Univ Illinois, Dept Elect &amp; Comp Engn, Urbana, IL 61801 USA</t>
  </si>
  <si>
    <t>University of Colorado System; University of Colorado Boulder; University of Colorado System; University of Colorado Boulder; UK Research &amp; Innovation (UKRI); Natural Environment Research Council (NERC); NERC British Antarctic Survey; University of Illinois System; University of Illinois Urbana-Champaign</t>
  </si>
  <si>
    <t>Chu, XZ (corresponding author), Univ Colorado, Cooperat Inst Res Environm Sci, 216 UCB, Boulder, CO 80309 USA.</t>
  </si>
  <si>
    <t>xinzhao.chu@colorado.edu</t>
  </si>
  <si>
    <t>Chu, Xinzhao/I-5670-2015</t>
  </si>
  <si>
    <t>D20</t>
  </si>
  <si>
    <t>D20213</t>
  </si>
  <si>
    <t>10.1029/2006JD007086</t>
  </si>
  <si>
    <t>103DP</t>
  </si>
  <si>
    <t>WOS:000241866200005</t>
  </si>
  <si>
    <t>Nakajima, H</t>
  </si>
  <si>
    <t>Nakajima, Hideaki</t>
  </si>
  <si>
    <t>Preface to special section on ILAS-II: The Improved Limb Atmospheric Spectrometer-II</t>
  </si>
  <si>
    <t>ANTARCTIC OZONE HOLE; ART.; SIZE</t>
  </si>
  <si>
    <t>The Improved Limb Atmospheric Spectrometer-II (ILAS-II) was a solar-occultation satellite sensor designed to measure minor constituents associated with polar ozone depletion. ILAS-II was placed on board the Advanced Earth Observing Satellite-II (ADEOS-II, Midori-II''), which was successfully launched on 14 December 2002 from the Tanegashima Space Center of the Japan Aerospace Exploration Agency (JAXA). After an initial check of the instruments, ILAS-II made routine measurements for about 7 months, from 2 April 2003 to 24 October 2003, a period that included the formation and collapse of an Antarctic ozone hole in 2003, one of the largest in history. This paper introduces a special section containing papers on ILAS-II instrumental and on-orbit characteristics, several validation results of ILAS-II data processed with the version 1.4 data processing algorithm, and scientific analyses of polar stratospheric chemistry and dynamics using ILAS-II data.</t>
  </si>
  <si>
    <t>Natl Inst Environm Studies, Tsukuba, Ibaraki 3058506, Japan</t>
  </si>
  <si>
    <t>National Institute for Environmental Studies - Japan</t>
  </si>
  <si>
    <t>Nakajima, H (corresponding author), Natl Inst Environm Studies, 16-2 Onogawa, Tsukuba, Ibaraki 3058506, Japan.</t>
  </si>
  <si>
    <t>hide@nies.go.jp</t>
  </si>
  <si>
    <t>Nakajima, Hideaki/M-8845-2019</t>
  </si>
  <si>
    <t>D20S90</t>
  </si>
  <si>
    <t>10.1029/2006JD007412</t>
  </si>
  <si>
    <t>WOS:000241866200012</t>
  </si>
  <si>
    <t>Ivchenko, VO; Zalesny, VB; Drinkwater, MR; Schröter, J</t>
  </si>
  <si>
    <t>Ivchenko, V. O.; Zalesny, V. B.; Drinkwater, M. R.; Schroeter, J.</t>
  </si>
  <si>
    <t>A quick response of the equatorial ocean to Antarctic sea ice/salinity anomalies</t>
  </si>
  <si>
    <t>NINO-SOUTHERN OSCILLATION; WEDDELL SEA; CIRCUMPOLAR CURRENT; ICE EXTENT; CIRCULATION; VARIABILITY; CLIMATE; MODEL; TELECONNECTIONS; ATMOSPHERE</t>
  </si>
  <si>
    <t>The potential mechanisms for a quick response of the equatorial ocean to processes occurring in the high-latitude Southern Ocean have been investigated. In the Southern Ocean at the Drake Passage latitudes, there is an zonally unbounded channel'', the Antarctic Circumpolar Current Belt (ACCB). It is demonstrated that in a multiconnected domain such as the ACCB, signals generated by anomalies in the Southern Ocean sea ice cover/salinity distribution can propagate in a wave-like manner in the form of fast moving barotropic Rossby waves. A disturbance induced near the Drake Passage is demonstrated to generate a Rossby wave that propagates across the Pacific in only a few days. This signal is reflected at the western boundary of the Pacific and generates an equatorward propagating coastally trapped Kelvin wave. The resulting temperature anomaly moves northward along the western coastline up to the vicinity of the equator and increases in amplitude over time. The anomaly in the western edge of equatorial Pacific then begins to propagate eastward along the equator as a trapped equatorial wave. After about 2-3 months this wave reaches the eastern coast, reflects, and generates the coastal trapped wave, which propagates north and south along the coastline in both hemispheres. This process is suggested as one possible direct mechanism by which the extratropical ocean can induce anomalies in the equatorial ocean.</t>
  </si>
  <si>
    <t>Natl Oceanog Ctr Southampton, Southampton SO14 3ZH, Hants, England; Russian Acad Sci, Inst Numer Math, Moscow 119991, Russia; European Space Agcy, European Space Res &amp; Technol Ctr, NL-2201 AZ Noordwijk, Netherlands; Alfred Wegener Inst Polar &amp; Marine Res, D-27570 Bremerhaven, Germany</t>
  </si>
  <si>
    <t>NERC National Oceanography Centre; University of Southampton; Russian Academy of Sciences; European Space Agency; Helmholtz Association; Alfred Wegener Institute, Helmholtz Centre for Polar &amp; Marine Research</t>
  </si>
  <si>
    <t>Ivchenko, VO (corresponding author), Natl Oceanog Ctr Southampton, European Way, Southampton SO14 3ZH, Hants, England.</t>
  </si>
  <si>
    <t>voi@noc.soton.ac.uk</t>
  </si>
  <si>
    <t>Schröter, Jens G/H-8806-2016; Drinkwater, Mark/C-2478-2011</t>
  </si>
  <si>
    <t>Schröter, Jens G/0000-0002-9240-5798; Drinkwater, Mark/0000-0002-9250-3806</t>
  </si>
  <si>
    <t>C10</t>
  </si>
  <si>
    <t>C10018</t>
  </si>
  <si>
    <t>10.1029/2005JC003061</t>
  </si>
  <si>
    <t>103DU</t>
  </si>
  <si>
    <t>WOS:000241866700001</t>
  </si>
  <si>
    <t>Navarro-González, R; Navarro, KF; de la Rosa, J; Iñiguez, E; Molina, P; Miranda, LD; Morales, P; Cienfuegos, E; Coll, P; Raulin, F; Amils, R; McKay, CP</t>
  </si>
  <si>
    <t>Navarro-Gonzalez, Rafael; Navarro, Karina F.; de la Rosa, Jose; Iniguez, Enrique; Molina, Paola; Miranda, Luis D.; Morales, Pedro; Cienfuegos, Edith; Coll, Patrice; Raulin, Francois; Amils, Ricardo; McKay, Christopher P.</t>
  </si>
  <si>
    <t>The limitations on organic detection in Mars-like soils by thermal volatilization-gas chromatography-MS and their implications for the Viking results</t>
  </si>
  <si>
    <t>PROCEEDINGS OF THE NATIONAL ACADEMY OF SCIENCES OF THE UNITED STATES OF AMERICA</t>
  </si>
  <si>
    <t>astrobiology; detection of organics; search for martian life; extreme environments; deserts</t>
  </si>
  <si>
    <t>IRON-OXIDE REDUCTION; ATACAMA DESERT; INTERIM-REPORT; KINETICS; SEARCH; CARBON; DECOMPOSITION; ENVIRONMENT; SURFACE; ACIDS</t>
  </si>
  <si>
    <t>The failure of Viking Lander thermal volatilization (TV) (without or with thermal degradation)-gas chromatography (GC)-MS experiments to detect organics suggests chemical rather than biological interpretations for the reactivity of the martian soil. Here, we report that TV-GC-MS may be blind to low levels of organics on Mars. A comparison between TV-GC-MS and total organics has been conducted for a variety of Mars analog soils. in the Antarctic Dry Valleys and the Atacama and Libyan Deserts we find 10-90 mu g of refractory or graphitic carbon per gram of soil, which would have been undetectable by the Viking TV-GC-MS. In iron-containing soils (jarosites from RioTinto and PanocheValley) and the Mars simulant (palogonite), oxidation of the organic material to carbon dioxide (CO2) by iron oxides and/or their salts drastically attenuates the detection of organics. The release of 50-700 ppm Of CO2 by TV-GC-MS in the Viking analysis may indicate that an oxidation of organic material took place. Therefore, the martian surface could have several orders of magnitude more organics than the stated Viking detection limit. Because of the simplicity of sample handling, TV-GC-MS is still considered the standard method for organic detection on future Mars missions. We suggest that the design of future organic instruments for Mars should include other methods to be able to detect extinct and/or extant life.</t>
  </si>
  <si>
    <t>Univ Nacl Autonoma Mexico, Lab Quim Plasmas &amp; Estudios Planetarios, Inst Ciencias Nucl, Mexico City 04510, DF, Mexico; Univ Nacl Autonoma Mexico, Inst Quim, Mexico City 04510, DF, Mexico; Univ Nacl Autonoma Mexico, Inst Geol, Mexico City 04510, DF, Mexico; Univ Paris 12, CNRS UMR 7583, Lab Interuniv Syst Atmospher, F-94010 Creteil, France; Univ Paris 07, F-94010 Creteil, France; CSIC, Inst Nacl Tecn Aeroespacial, Ctr Astrobiol, Madrid 28850, Spain; NASA, Ames Res Ctr, Div Space Sci, Moffett Field, CA 94035 USA</t>
  </si>
  <si>
    <t>Universidad Nacional Autonoma de Mexico; Universidad Nacional Autonoma de Mexico; Universidad Nacional Autonoma de Mexico; Universite Paris Cite; Universite Paris-Est-Creteil-Val-de-Marne (UPEC); Centre National de la Recherche Scientifique (CNRS); CNRS - National Institute for Earth Sciences &amp; Astronomy (INSU); Universite Paris Cite; Consejo Superior de Investigaciones Cientificas (CSIC); CSIC - Centro de Astrobiologia (INTA); National Aeronautics &amp; Space Administration (NASA); NASA Ames Research Center</t>
  </si>
  <si>
    <t>Navarro-González, R (corresponding author), Univ Nacl Autonoma Mexico, Lab Quim Plasmas &amp; Estudios Planetarios, Inst Ciencias Nucl, Circuito Exterior,Ciudad Univ,POB 70-543, Mexico City 04510, DF, Mexico.</t>
  </si>
  <si>
    <t>navarro@nucleares.unam.mx</t>
  </si>
  <si>
    <t>De la Rosa, José G/A-3573-2010; Miranda, Luis D/J-8864-2016; Molina, Paola/KFF-5598-2024; Nucleares, Instituto/AAK-6270-2020; Pacheco, José Enrique Iñiguez/D-5208-2009; Amils, Ricardo/X-2706-2019; Navarro-González, Rafael/D-1748-2009; Miranda, Luis/H-2901-2015</t>
  </si>
  <si>
    <t>Miranda, Luis D/0000-0003-0342-8160; Molina, Paola/0009-0009-1889-4253; Pacheco, José Enrique Iñiguez/0000-0001-8062-8225; Navarro-González, Rafael/0000-0002-6078-7621; Miranda, Luis/0000-0003-0342-8160; McKay, Christopher/0000-0002-6243-1362; Navarro, Karina/0000-0001-5465-5078</t>
  </si>
  <si>
    <t>NATL ACAD SCIENCES</t>
  </si>
  <si>
    <t>2101 CONSTITUTION AVE NW, WASHINGTON, DC 20418 USA</t>
  </si>
  <si>
    <t>0027-8424</t>
  </si>
  <si>
    <t>P NATL ACAD SCI USA</t>
  </si>
  <si>
    <t>Proc. Natl. Acad. Sci. U. S. A.</t>
  </si>
  <si>
    <t>10.1073/pnas.0604210103</t>
  </si>
  <si>
    <t>103IS</t>
  </si>
  <si>
    <t>WOS:000241879500008</t>
  </si>
  <si>
    <t>Gabrielli, P; Plane, JMC; Boutron, CF; Hong, SM; Cozzi, G; Cescon, P; Ferrari, C; Crutzen, PJ; Petit, JR; Lipenkov, VY; Barbante, C</t>
  </si>
  <si>
    <t>Gabrielli, Paolo; Plane, John M. C.; Boutron, Claude F.; Hong, Sungmin; Cozzi, Giulio; Cescon, Paolo; Ferrari, Christophe; Crutzen, Paul J.; Petit, Jean Robert; Lipenkov, Vladimir Y.; Barbante, Carlo</t>
  </si>
  <si>
    <t>A climatic control on the accretion of meteoric and super-chondritic iridium-platinum to the Antarctic ice cap</t>
  </si>
  <si>
    <t>iridium; platinum; meteoric smoke; ice; Antarctica; climate</t>
  </si>
  <si>
    <t>DOME-C; EAST ANTARCTICA; TRACE-ELEMENTS; TEPHRA LAYERS; DUST; CORE; TRANSPORT; FLUX; ENRICHMENT; PARTICLES</t>
  </si>
  <si>
    <t>Meteoric smoke particles (MSPs) form through the vaporization of meteoroids and the subsequent re-condensation of metallic species in the mesosphere. Recently, iridium and platinum enrichments have been identified in Greenland ice layers and attributed to the fallout of MSPs supplying polar latitudes with cosmic matter during the Holocene. However, the MSP fallout to Antarctica during the Earth's climatic history remains essentially unknown. We have determined iridium and platinum in deep Antarctic ice from Dome C and Vostok dated back to 240 kyrs BP. We find high super-chondritic fluxes during warm periods and low meteoric accretion during glacial times, a pattern that is opposite to any known climatic variation in dust fallout to polar regions. The proposed explanation of this accretion regime is a weaker polar vortex during warm periods, allowing peripheral air masses enriched in volcanic iridium and platinum to penetrate inland to Antarctica. The MSP signal emerges only during cold phases and is four times lower than in the Greenland ice cap where more snow accumulates. This suggests that wet deposition is an important route of cosmic material to the Earth's surface. (c) 2006 Elsevier B.V. All rights reserved.</t>
  </si>
  <si>
    <t>Univ Venice, Dept Environm Sci, I-30123 Venice, Italy; CNR, Inst Dynam Environm Proc, I-30123 Venice, Italy; Univ Grenoble 1, CNRS, UMR 5183, Lab Glaciol &amp; Geophys Environm, F-38402 St Martin Dheres, France; Univ Leeds, Sch Chem, Leeds LS2 9JT, W Yorkshire, England; Univ Grenoble 1, Unite Format &amp; Rech Phys, F-38041 Grenoble, France; Univ Grenoble 1, Observ Sci Univ, Inst Univ France, F-38041 Grenoble, France; Korea Ocean Res &amp; Dev Inst, Korea Polar Res Inst, Seoul 425600, South Korea; Univ Grenoble 1, Inst Univ France, Polytech Grenoble, F-38041 Grenoble, France; Max Planck Inst Chem, Atmospher Div, D-55128 Mainz, Germany; Arctic &amp; Antarctic Res Inst, St Petersburg 199397, Russia</t>
  </si>
  <si>
    <t>Universita Ca Foscari Venezia; Consiglio Nazionale delle Ricerche (CNR); Istituto per la Dinamica dei Processi Ambientali (IDPA-CNR); Communaute Universite Grenoble Alpes; Universite Grenoble Alpes (UGA); Centre National de la Recherche Scientifique (CNRS); University of Leeds; Communaute Universite Grenoble Alpes; Universite Grenoble Alpes (UGA); Communaute Universite Grenoble Alpes; Universite Grenoble Alpes (UGA); Institut Universitaire de France; Korea Polar Research Institute (KOPRI); Korea Institute of Ocean Science &amp; Technology (KIOST); Communaute Universite Grenoble Alpes; Universite Grenoble Alpes (UGA); Institut Universitaire de France; Institut National Polytechnique de Grenoble; Max Planck Society; Arctic &amp; Antarctic Research Institute</t>
  </si>
  <si>
    <t>Barbante, C (corresponding author), Univ Venice, Dept Environm Sci, I-30123 Venice, Italy.</t>
  </si>
  <si>
    <t>barbante@unive.it</t>
  </si>
  <si>
    <t>Cozzi, Giulio/F-6473-2010; Cozzi, Giulio/R-4554-2019; Crutzen, Paul J/F-6044-2012; Barbante, Carlo/B-3195-2011; Plane, John/C-7444-2015; Lipenkov, Vladimir/Q-8262-2016</t>
  </si>
  <si>
    <t>Cozzi, Giulio/0000-0001-8796-4176; Plane, John/0000-0003-3648-6893; Lipenkov, Vladimir/0000-0003-4221-5440; Cescon, Paolo/0000-0003-1836-6759; Barbante, Carlo/0000-0003-4177-2288</t>
  </si>
  <si>
    <t>OCT 30</t>
  </si>
  <si>
    <t>10.1016/j.epsl.2006.08.015</t>
  </si>
  <si>
    <t>107TY</t>
  </si>
  <si>
    <t>WOS:000242195100004</t>
  </si>
  <si>
    <t>Scott, JBT; Mair, D; Nienow, P; Parry, V; Morris, E</t>
  </si>
  <si>
    <t>Scott, Julian B. T.; Mair, Doug; Nienow, Pete; Parry, Victoria; Morris, Elizabeth</t>
  </si>
  <si>
    <t>A ground-based radar backscatter investigation in the percolation zone of the Greenland ice sheet</t>
  </si>
  <si>
    <t>radar backscatter; Greenland; ice sheet</t>
  </si>
  <si>
    <t>ALTIMETER MEASUREMENTS</t>
  </si>
  <si>
    <t>Satellite radar altimeters and scatterometers deployed over ice sheets experience backscatter from the surface and from within the snowpack, termed surface and volume backscatter respectively. In order to assess the errors in satellite altimeter measurements it is vital to know where the return is originating from in the snowpack. This return can vary spatially and temporally. Seasonal variations in the volume backscatter can be a major complicating factor in the radar return from the percolation zone. Ground-based step-frequency radar was deployed in the percolation zone of the Greenland Ice Sheet at similar to 1945 m elevation (69 51 N, 47 15W). Previous measurements in this area made by scientists from the Byrd Polar Research Centre and the University of Kansas, undertaken prior to summer melt events, have shown the strongest backscatter from ice features at around 1 m depth buried beneath the previous end-of-summer surface. In autumn 2004, radar measurements in the Ku band with bandwidths of 1 and 8 GHz were made alongside detailed stratigraphic observations within a 1 km(2) site. The radar results revealed no continuous reflecting horizons in the upper 3.5 m of the firn. Shallow cores and snowpits also indicated that there were no spatially continuous stratigraphic horizons across the study site. An average electromagnetic wave velocity of 2.11 +/- 0.05 x 10(8) m s(-1) was determined for the upper metre of the firn. Surface and volume backscatter at vertical incidence were calculated using a standard model. The contribution of the surface backscatter to the total backscatter was on average 6 dB higher than that of the volume backscatter. However, at the higher 8 GHz bandwidth the strongest return frequently originated not from the surface but from within the upper 30 cm of the snowpack, most probably from thin ice layers. At 1 GHz bandwidth these ice layers were not always resolved; their return merged with the surface return, causing it to broaden, with the peak and leading edge moving down. Modelling using density and thickness measurements from shallow cores and snowpits showed that the backscatter from these shallow, thin ice layers could be stronger than the surface return owing to constructive interference from the top and base of the layers. (c) 2006 Elsevier Inc. All rights reserved.</t>
  </si>
  <si>
    <t>Univ Aberdeen, Aberdeen, Scotland; Univ Edinburgh, Edinburgh, Midlothian, Scotland; British Antarctic Survey, Cambridge CB3 0ET, England</t>
  </si>
  <si>
    <t>University of Aberdeen; University of Edinburgh; UK Research &amp; Innovation (UKRI); Natural Environment Research Council (NERC); NERC British Antarctic Survey</t>
  </si>
  <si>
    <t>Mair, D (corresponding author), Univ Aberdeen, Aberdeen, Scotland.</t>
  </si>
  <si>
    <t>d.mair@abdn.ac.uk</t>
  </si>
  <si>
    <t>1879-0704</t>
  </si>
  <si>
    <t>10.1016/j.rse.2006.05.009</t>
  </si>
  <si>
    <t>097MB</t>
  </si>
  <si>
    <t>WOS:000241450900001</t>
  </si>
  <si>
    <t>Waller, ZAE; Bowen, RD; Edwards, HGM</t>
  </si>
  <si>
    <t>Waller, Zoe A. E.; Bowen, Richard D.; Edwards, Howell G. M.</t>
  </si>
  <si>
    <t>Raman spectroscopic and structural investigation of 1,4-diphenylbuta-1,3-diene and selected monomethyl and dimethyl substituted homologues</t>
  </si>
  <si>
    <t>ANALYTICA CHIMICA ACTA</t>
  </si>
  <si>
    <t>diphenylbutadiene; carotenoids; Raman spectroscopy; mass spectrometry; astrobiology</t>
  </si>
  <si>
    <t>ANTARCTIC HABITATS; IN-SITU; MARS; BIOMOLECULES; CAROTENOIDS; ANALOGS; LIFE</t>
  </si>
  <si>
    <t>The Raman and mass spectra of 1,4-diphenylbuta-1,3-diene and several of its monomethyl and dimethyl homologues are reported and discussed, with a view to developing a spectroscopic protocol for detecting the presence and position of a methyl group in these compounds. Raman spectroscopy and mass spectrometry are shown to provide complementary information, by which the four available monomethyl homologues may be readily distinguished from each other and 1,4-diphenylbuta-1,3-diene itself. The utility of these 1,4-diarylbutadienes as model compounds for carotenoids and related materials, which may serve as indicators of extinct or extant extraterrestrial life, is considered. (c) 2006 Elsevier B.V. All rights reserved.</t>
  </si>
  <si>
    <t>Univ Bradford, Sch Life Sci, Bradford BD7 1DP, W Yorkshire, England</t>
  </si>
  <si>
    <t>University of Bradford</t>
  </si>
  <si>
    <t>Bowen, RD (corresponding author), Univ Bradford, Sch Life Sci, Bradford BD7 1DP, W Yorkshire, England.</t>
  </si>
  <si>
    <t>r.d.bowen@bradford.ac.uk; h.g.m.edwards@bradford.ac.uk</t>
  </si>
  <si>
    <t>Waller, Zoe/F-6715-2011</t>
  </si>
  <si>
    <t>Waller, Zoe/0000-0001-8538-0484</t>
  </si>
  <si>
    <t>0003-2670</t>
  </si>
  <si>
    <t>ANAL CHIM ACTA</t>
  </si>
  <si>
    <t>Anal. Chim. Acta</t>
  </si>
  <si>
    <t>OCT 27</t>
  </si>
  <si>
    <t>10.1016/j.aca.2006.07.042</t>
  </si>
  <si>
    <t>100YM</t>
  </si>
  <si>
    <t>WOS:000241706100008</t>
  </si>
  <si>
    <t>Matear, RJ; McNeil, BI</t>
  </si>
  <si>
    <t>Matear, Richard J.; McNeil, Ben I.</t>
  </si>
  <si>
    <t>Comment on Preindustrial to modern interdecadal variability in coral reef pH</t>
  </si>
  <si>
    <t>GREAT-BARRIER-REEF; CARBON BUDGET; CO2</t>
  </si>
  <si>
    <t>Commonwealth Sci &amp; Ind Res Org Marine &amp; Atmospher, Hobart, Tas, Australia; Antarctic Climate &amp; Ecosyst Cooperat Res Ctr, Hobart, Tas, Australia; Univ New S Wales, Sch Math, Climate &amp; Environm Dynam Lab, Sydney, NSW, Australia</t>
  </si>
  <si>
    <t>Commonwealth Scientific &amp; Industrial Research Organisation (CSIRO); Antarctic Climate &amp; Ecosystems Cooperative Research Centre (ACE CRC); University of New South Wales Sydney</t>
  </si>
  <si>
    <t>Matear, RJ (corresponding author), Commonwealth Sci &amp; Ind Res Org Marine &amp; Atmospher, Hobart, Tas, Australia.</t>
  </si>
  <si>
    <t>Richard.Matear@csiro.au</t>
  </si>
  <si>
    <t>matear, richard/C-5133-2011</t>
  </si>
  <si>
    <t>matear, richard/0000-0002-3225-0800; McNeil, Ben/0000-0001-5765-7087</t>
  </si>
  <si>
    <t>10.1126/science.1128198</t>
  </si>
  <si>
    <t>098XT</t>
  </si>
  <si>
    <t>WOS:000241557800024</t>
  </si>
  <si>
    <t>Shprits, YY; Thorne, RM; Horne, RB; Summers, D</t>
  </si>
  <si>
    <t>Shprits, Yuri Y.; Thorne, Richard M.; Horne, Richard B.; Summers, Danny</t>
  </si>
  <si>
    <t>Bounce-averaged diffusion coefficients for field-aligned chorus waves</t>
  </si>
  <si>
    <t>WHISTLER-MODE CHORUS; RADIATION BELT ELECTRONS; RELATIVISTIC ENERGIES; PITCH-ANGLE; ART.; ACCELERATION; TIMESCALE; PLASMA</t>
  </si>
  <si>
    <t>[1] Whistler mode chorus emissions in the Earth's magnetosphere extend from the plasmapause to the boundary of trapping. Knowledge of the pitch angle and energy scattering rates is essential for accurate radiation belt modeling. Scattering rates, which are used as an input for radiation belt codes, should be evaluated dynamically and should account for the changes in plasma density, latitudinal and MLT distribution of waves, and wave spectral properties. Bounce-averaged diffusion coefficients computed with the assumption of parallel wave propagation are compared to the results of the PADIE diffusion code, which takes into account the oblique propagation of waves and higher-order resonances. The inaccuracies associated with the neglect of higher-order resonances are compared to potential errors introduced by inaccuracies in determining plasma density and the latitudinal distribution of waves. Numerical sensitivity tests show that the errors associated with the neglect of the high-order scattering are smaller than inaccuracies associated with the uncertainties in the parameters of the codes.</t>
  </si>
  <si>
    <t>Univ Calif Los Angeles, Dept Atmospher &amp; Ocean Sci, Los Angeles, CA 90095 USA; British Antarctic Survey, NERC, Cambridge CB3 0ET, England; Mem Univ Newfoundland, Dept Math &amp; Stat, St John, NF A1C 5S7, Canada</t>
  </si>
  <si>
    <t>University of California System; University of California Los Angeles; UK Research &amp; Innovation (UKRI); Natural Environment Research Council (NERC); NERC British Antarctic Survey; Memorial University Newfoundland</t>
  </si>
  <si>
    <t>Shprits, YY (corresponding author), Univ Calif Los Angeles, Dept Atmospher &amp; Ocean Sci, 405 Hilgard Ave, Los Angeles, CA 90095 USA.</t>
  </si>
  <si>
    <t>yshprits@atmos.ucla.edu; rmt@atmos.ucla.edu; r.horne@bas.ac.uk; dsummers@math.mun.ca</t>
  </si>
  <si>
    <t>Shprits, Yuri Y/I-2174-2014; Horne, Richard B/U-3764-2019</t>
  </si>
  <si>
    <t>Horne, Richard B/0000-0002-0412-6407; Shprits, Yuri/0000-0002-9625-0834</t>
  </si>
  <si>
    <t>Natural Environment Research Council [bas010022] Funding Source: researchfish; NERC [bas010022] Funding Source: UKRI</t>
  </si>
  <si>
    <t>OCT 26</t>
  </si>
  <si>
    <t>A10</t>
  </si>
  <si>
    <t>A10225</t>
  </si>
  <si>
    <t>10.1029/2006JA011725</t>
  </si>
  <si>
    <t>100WW</t>
  </si>
  <si>
    <t>WOS:000241701900002</t>
  </si>
  <si>
    <t>Sakova, IV; Meyers, G; Coleman, R</t>
  </si>
  <si>
    <t>Sakova, Irina V.; Meyers, Gary; Coleman, Richard</t>
  </si>
  <si>
    <t>Interannual variability in the Indian Ocean using altimeter and IX1-expendable bathy-thermograph (XBT) data: Does the 18-month signal exist?</t>
  </si>
  <si>
    <t>TROPOSPHERIC BIENNIAL OSCILLATION; GENERAL-CIRCULATION MODEL; DIPOLE MODE; SIMULATION; DYNAMICS; MONSOON</t>
  </si>
  <si>
    <t>The dominant frequency bands in altimeter sea surface height (SSH) variability over the whole Indian Ocean and in temperature profiles near the Sumatra-Java coast are identified and analysed using spectral analysis techniques. We find that in most regions of the Indian Ocean, the low-frequency part of the SSH spectra ( corresponding to signals with periods from six months to six years) is concentrated in five frequency bands separated by substantial spectral gaps: semi-annual, annual, 18 - 20 months, 3 years, and 4 - 6 years. The existence of semi-annual, annual, 2 - 3-year, and 4 - 6-year periodical signals is well known; however, the 18 - 20-month signal has not previously been described. Further investigation of temporal and spatial characteristics of this later signal point to its relationship with the Indian Ocean dipole events: the signal is particularly strong between 1994 and 2000; it develops near the Sumatra coast and propagates to the Bay of Bengal and into the Indonesian Throughflow.</t>
  </si>
  <si>
    <t>CSIRO Marine &amp; Atmospher Res, Hobart, Tas 7001, Australia; Univ Tasmania, Sch Geog &amp; Environm Studies, Hobart, Tas 7001, Australia; Antarctic Climate &amp; Ecosyst CRC, Hobart, Tas, Australia</t>
  </si>
  <si>
    <t>Commonwealth Scientific &amp; Industrial Research Organisation (CSIRO); University of Tasmania; University of Tasmania</t>
  </si>
  <si>
    <t>Sakova, IV (corresponding author), CSIRO Marine &amp; Atmospher Res, GPO Box 1538, Hobart, Tas 7001, Australia.</t>
  </si>
  <si>
    <t>irina.sakova@csiro.au</t>
  </si>
  <si>
    <t>Coleman, Richard/H-4425-2012</t>
  </si>
  <si>
    <t>Coleman, Richard/0000-0002-9731-7498</t>
  </si>
  <si>
    <t>OCT 25</t>
  </si>
  <si>
    <t>L20603</t>
  </si>
  <si>
    <t>10.1029/2006GL027117</t>
  </si>
  <si>
    <t>100WB</t>
  </si>
  <si>
    <t>Bronze, Green Accepted, Green Published</t>
  </si>
  <si>
    <t>WOS:000241699800004</t>
  </si>
  <si>
    <t>Tilmes, S; Müller, R; Engel, A; Rex, M; Russell, JM</t>
  </si>
  <si>
    <t>Tilmes, Simone; Mueller, Rolf; Engel, Andreas; Rex, Markus; Russell, James M., III</t>
  </si>
  <si>
    <t>Chemical ozone loss in the Arctic and Antarctic stratosphere between 1992 and 2005</t>
  </si>
  <si>
    <t>POLAR VORTEX; WINTER; CHLORINE; AIR</t>
  </si>
  <si>
    <t>[1] The magnitude of chemical loss of polar ozone induced by anthropogenic halogens depends on the extent of chlorine activation, which is controlled by polar stratospheric clouds (PSCs) and thus by temperature. We propose a new quantity, the PSC formation potential (PFP) of the polar vortex, suitable for comparing the amount of ozone depletion in the Arctic and Antarctic regions. PFP represents the fraction of the vortex, over an ozone loss season, exposed to PSC temperatures. Chemical ozone loss in the Arctic correlates well with PFP, for winters between 1991 and 2005. For Antarctic and cold Arctic winters, PFP has been increasing over the past 30 years. In winter 2005, PFP and ozone loss in the Arctic reached record highs, approaching Antarctic levels. Nevertheless, column ozone in spring in the Arctic is much larger than the Antarctic, because of larger dynamical resupply of ozone to the Arctic.</t>
  </si>
  <si>
    <t>Natl Ctr Atmospher Res, Boulder, CO 80307 USA; Goethe Univ Frankfurt, Inst Atmosphere &amp; Environm, D-60325 Frankfurt, Germany; Forschungszentrum Julich, Inst Stratospher Res ICG I, D-52425 Julich, Germany; Alfred Wegener Inst Polar &amp; Marine Res, D-14401 Potsdam, Germany; Hampton Univ, Hampton, VA 23668 USA</t>
  </si>
  <si>
    <t>National Center Atmospheric Research (NCAR) - USA; Goethe University Frankfurt; Helmholtz Association; Research Center Julich; Helmholtz Association; Alfred Wegener Institute, Helmholtz Centre for Polar &amp; Marine Research; Hampton University</t>
  </si>
  <si>
    <t>Tilmes, S (corresponding author), Natl Ctr Atmospher Res, POB 3000, Boulder, CO 80307 USA.</t>
  </si>
  <si>
    <t>tilmes@ucar.edu; ro.mueller@fz-juelich.de; an.engel@meteor.uni-frankfurt.de; mrex@awi-potsdam.de; james.russell@hamptonu.edu</t>
  </si>
  <si>
    <t>Tilmes, Simone/JUV-6618-2023; Müller, Rolf/ABA-8213-2021; Rex, Markus/A-6054-2009; Engel, Andreas/E-3100-2014</t>
  </si>
  <si>
    <t>Tilmes, Simone/0000-0002-6557-3569; Müller, Rolf/0000-0002-5024-9977; Rex, Markus/0000-0001-7847-8221; Engel, Andreas/0000-0003-0557-3935</t>
  </si>
  <si>
    <t>OCT 24</t>
  </si>
  <si>
    <t>L20812</t>
  </si>
  <si>
    <t>10.1029/2006GL026925</t>
  </si>
  <si>
    <t>100WA</t>
  </si>
  <si>
    <t>WOS:000241699700001</t>
  </si>
  <si>
    <t>Schultes, S; Verity, PG; Bathmann, U</t>
  </si>
  <si>
    <t>Schultes, S.; Verity, P. G.; Bathmann, U.</t>
  </si>
  <si>
    <t>Copepod grazing during an iron-induced diatom bloom in the Antarctic Circumpolar Current (EisenEx): I. Feeding patterns and grazing impact on prey populations</t>
  </si>
  <si>
    <t>copepods; diatom mortality; grazing selectivity; iron fertilization; Southern Ocean</t>
  </si>
  <si>
    <t>RHINCALANUS-GIGAS COPEPODA; SOUTHERN-OCEAN; CALANOID COPEPODS; ATLANTIC SECTOR; MESOZOOPLANKTON COMMUNITY; PHYTOPLANKTON BLOOM; SPRING BLOOM; LIFE-CYCLES; MARINE; SELECTIVITY</t>
  </si>
  <si>
    <t>Feeding activity, selective grazing and the potential grazing impact of two dominant grazers of the Polar Frontal Zone, Calanus simillimus and Rhincalanus gigas, and of copepods &lt; 2 mm were investigated with incubation experiments in the course of an iron fertilized diatom bloom in November 2000. All grazers were already actively feeding in the low chlorophyll waters prior to the onset of the bloom. C. simillimus maintained constant clearance rates and fed predominantly on diatoms. R. gigas and the small copepods strongly increased clearance and ingestion of diatoms in response to their enhanced availability. All grazers preyed on microzooplankton, most steadily on ciliates, confirming the view that pure herbivory appears to be the exception rather than the rule in copepod feeding. The grazers exhibited differences in feeding behavior based on selectivity indices. C simillimus and R. gigas showed prey switching from dinoflagellates to diatoms in response to the phytoplankton bloom. All grazers most efficiently grazed on large diatoms leading to differences in daily losses for large and small species, e.g. Corethron sp. or Thalassionema nitzschioides. Species-specific diatom mortality rates due to grazing suggest that the high feeding activity of C simillimus prior to and during the bloom played a role in shaping diatom population dynamics. (c) 2006 Elsevier B.V. All rights reserved.</t>
  </si>
  <si>
    <t>Alfred Wegener Inst Polar &amp; Marine Res, D-27570 Bremerhaven, Germany; Skidaway Inst Oceanog, Savannah, GA 31411 USA</t>
  </si>
  <si>
    <t>Helmholtz Association; Alfred Wegener Institute, Helmholtz Centre for Polar &amp; Marine Research; University System of Georgia; University of Georgia; Skidaway Institute of Oceanography</t>
  </si>
  <si>
    <t>Schultes, S (corresponding author), Inst Univ Europeen Mer, LEMAR, Site Technopole Brest Iroise,Pl Nicolas Copernic, F-29280 Plouzane, France.</t>
  </si>
  <si>
    <t>sabine.schultes@univ-brest.fr</t>
  </si>
  <si>
    <t>1879-1697</t>
  </si>
  <si>
    <t>10.1016/j.jembe.2006.06.028</t>
  </si>
  <si>
    <t>091GX</t>
  </si>
  <si>
    <t>WOS:000241016200002</t>
  </si>
  <si>
    <t>Doubleday, Z; Semmens, JM; Pecl, G; Jackson, G</t>
  </si>
  <si>
    <t>Doubleday, Zoe; Semmens, Jayson M.; Pecl, Gretta; Jackson, George</t>
  </si>
  <si>
    <t>Assessing the validity of stylets as ageing tools in Octopus pallidus</t>
  </si>
  <si>
    <t>age validation; cephalopod; growth; octopus; Octopus pallidus; stylets</t>
  </si>
  <si>
    <t>STATOLITH INCREMENT ANALYSIS; AGE-DETERMINATION; VULGARIS CUVIER; GROWTH LINES; SQUID; MICROSTRUCTURE; VALIDATION</t>
  </si>
  <si>
    <t>A method to age octopus was determined through the quantification of growth increments within the stylet structure (highly reduced internal shells). To validate the periodicity of the increments, stylets were analysed from known-age laboratory-raised Octopus pallidus. The animals, which ranged from 3 to 8 months old, were exposed either to a simulated natural or to constant temperature regime. Transverse stylet sections were embedded in thermo-plastic cement and ground until a thin section was achieved. A pre-hatch region and first post-hatch increment was identified in the stylet microstructure. The number of increments, across all ages and temperature treatments, was in remarkably close agreement to age (number of days), clearly demonstrating that stylet increments are deposited daily throughout the lifiecycle of O. pallidus. Morphometric analyses of the stylet indicated that increments were laid down regularly during stylet growth and that stylets grew in concert with body size, further supporting daily periodicity. This study successfully validates daily increments in stylets and thus demonstrate a method to age octopus, therefore, potentially having critical implications for future octopus research and the effective management of stocks worldwide. (c) 2006 Elsevier B.V. All rights reserved.</t>
  </si>
  <si>
    <t>Univ Tasmania, Tasmania Aquaculture &amp; Fisheries Inst, Marine Res Labs, Hobart, Tas 7001, Australia; Univ Tasmania, Inst Antarctic &amp; So Ocean Studies, Hobart, Tas 7001, Australia</t>
  </si>
  <si>
    <t>Doubleday, Z (corresponding author), Univ Tasmania, Tasmania Aquaculture &amp; Fisheries Inst, Marine Res Labs, Private Bag 49, Hobart, Tas 7001, Australia.</t>
  </si>
  <si>
    <t>zoeanned@utas.edu.au</t>
  </si>
  <si>
    <t>Doubleday, Zoe/AAU-6278-2020; Pecl, Gretta/D-7267-2011; Doubleday, Zoe/N-9955-2013; Jackson, George D/AAI-7315-2021; Doubleday, Zoe/N-9955-2013</t>
  </si>
  <si>
    <t>Pecl, Gretta/0000-0003-0192-4339; Doubleday, Zoe/0000-0003-0045-6377; Semmens, Jayson/0000-0003-1742-6692; Doubleday, Zoe/0000-0002-6850-3507</t>
  </si>
  <si>
    <t>10.1016/j.jembe.2006.06.027</t>
  </si>
  <si>
    <t>WOS:000241016200003</t>
  </si>
  <si>
    <t>Hendy, IL; Pedersen, TF</t>
  </si>
  <si>
    <t>Hendy, I. L.; Pedersen, T. F.</t>
  </si>
  <si>
    <t>Oxygen minimum zone expansion in the eastern tropical North Pacific during deglaciation</t>
  </si>
  <si>
    <t>SANTA-BARBARA BASIN; NITROGEN ISOTOPE; PRODUCTIVITY VARIATIONS; SUBOXIC SEDIMENTS; MARINE-SEDIMENTS; OCEAN; CIRCULATION; CADMIUM; MARGIN; GEOCHEMISTRY</t>
  </si>
  <si>
    <t>During deglaciation at similar to 17 ka the intensity and footprint of the oxygen minimum zone (OMZ) increased in the Eastern Tropical North Pacific (ETNP) before a subsequent expansion on the California Margin. Evidence for the earlier increase is found in trace metal concentrations, lamination preservation and delta N-15 values from cores located between 540 - 750 m water depth in the Gulf of Tehuantepec, Southern Mexico. These results differ from similar proxies found even 5 degrees N of the site, where there is evidence for OMZ changes related to rapid climate change in the Northern Hemisphere. Instead, OMZ expansion in the Gulf was contemporaneous with changes in sea ice extent and zonal wind shifts around Antarctica, pointing to Subantarctic Mode Water and Antarctic Intermediate Water as likely sources of oxygen-depleted water. These observations reinforce the importance of the Southern Ocean as a primary modulator of northern hemisphere ocean climate, as far as 15 degrees N in the ETNP.</t>
  </si>
  <si>
    <t>Univ Michigan, Dept Geol Sci, Ann Arbor, MI 48109 USA; Univ Victoria, Dept Appl Ocean Sci, Victoria, BC V8W 3P6, Canada</t>
  </si>
  <si>
    <t>University of Michigan System; University of Michigan; University of Victoria</t>
  </si>
  <si>
    <t>Hendy, IL (corresponding author), Univ Michigan, Dept Geol Sci, 1006 CC Little Bldg, Ann Arbor, MI 48109 USA.</t>
  </si>
  <si>
    <t>ihendy@umich.edu</t>
  </si>
  <si>
    <t>, Ingrid/AAT-1279-2021</t>
  </si>
  <si>
    <t>hendy, Ingrid/0000-0001-8305-6752</t>
  </si>
  <si>
    <t>OCT 21</t>
  </si>
  <si>
    <t>L20602</t>
  </si>
  <si>
    <t>10.1029/2006GL025975</t>
  </si>
  <si>
    <t>100UL</t>
  </si>
  <si>
    <t>WOS:000241694600001</t>
  </si>
  <si>
    <t>Holmes, CD; Jacob, DJ; Yang, X</t>
  </si>
  <si>
    <t>Holmes, Christopher D.; Jacob, Daniel J.; Yang, Xin</t>
  </si>
  <si>
    <t>Global lifetime of elemental mercury against oxidation by atomic bromine in the free troposphere</t>
  </si>
  <si>
    <t>MARINE BOUNDARY-LAYER; ATMOSPHERIC MERCURY; INITIATED REACTIONS; GASEOUS MERCURY; BRO; CHEMISTRY; PRODUCT; HALOGENS; KINETICS; HG</t>
  </si>
  <si>
    <t>We calculate the global mean atmospheric lifetime of elemental mercury (Hg-0) against oxidation by atomic bromine (Br) in the troposphere by combining recent kinetic data for the Hg-Br system with modeled global concentrations of tropospheric Br. We obtain a lifetime of 0.5 - 1.7 years based on the range of kinetic data, implying that oxidation of Hg-0 by Br is a major, and possibly dominant, global sink for Hg-0. Most of the oxidation takes place in the middle and upper troposphere, where Br concentrations are high and where cold temperatures suppress thermal decomposition of the HgBr intermediate. This oxidation mechanism is consistent with mercury observations, including in particular high gaseous Hg(II) concentrations in Antarctic summer. Better free-tropospheric measurements of bromine radicals and further kinetic study of the Hg-Br system are essential to more accurately assess the global importance of Br as an oxidant of atmospheric Hg-0.</t>
  </si>
  <si>
    <t>Harvard Univ, Dept Earth &amp; Planetary Sci, Cambridge, MA 02168 USA; Harvard Univ, Div Engn &amp; Appl Sci, Cambridge, MA 02168 USA; Univ Cambridge, Ctr Atmospher Sci, Cambridge, England</t>
  </si>
  <si>
    <t>Harvard University; Harvard University; University of Cambridge</t>
  </si>
  <si>
    <t>Holmes, CD (corresponding author), Harvard Univ, Dept Earth &amp; Planetary Sci, Pierce Hall,29 Oxford St, Cambridge, MA 02168 USA.</t>
  </si>
  <si>
    <t>cdh@io.harvard.edu</t>
  </si>
  <si>
    <t>Holmes, Christopher D/C-9956-2014; Yang, Xin/AGB-3514-2022</t>
  </si>
  <si>
    <t>Holmes, Christopher D/0000-0002-2727-0954; Yang, Xin/0000-0002-3838-9758</t>
  </si>
  <si>
    <t>L20808</t>
  </si>
  <si>
    <t>10.1029/2006GL027176</t>
  </si>
  <si>
    <t>WOS:000241694600005</t>
  </si>
  <si>
    <t>Tomasi, C; Petkov, B; Benedetti, E; Vitale, V; Pellegrini, A; Dargaud, G; De Silvestri, L; Grigioni, P; Fossat, E; Roth, WL; Valenziano, L</t>
  </si>
  <si>
    <t>Tomasi, Claudio; Petkov, Boyan; Benedetti, Elena; Vitale, Vito; Pellegrini, Andrea; Dargaud, Guillaume; De Silvestri, Lorenzo; Grigioni, Paolo; Fossat, Eric; Roth, William L.; Valenziano, Luca</t>
  </si>
  <si>
    <t>Characterization of the atmospheric temperature and moisture conditions above Dome C (Antarctica) during austral summer and fall months</t>
  </si>
  <si>
    <t>WATER-VAPOR; HUMIDITY; RADIOSONDES; VALIDATION; RADIATION; PROFILES; PLATEAU; SURFACE</t>
  </si>
  <si>
    <t>[ 1] Two sets of radiosounding measurements were taken at Dome C ( Antarctica) in December 2003 and January 2003 and 2004, using RS80-A, RS80-H, and RS90 Vaisala radiosondes, and from March to May 2005, employing the RS92 model. They were examined following accurate correction procedures to remove the main relative humidity dry bias and the temperature and humidity lag errors. The results showed that a strong cooling usually characterizes the thermal conditions of the whole troposphere from December/January to April/May, with an average temperature decrease from 245 to 220 K at the ground, of around 10 K at upper tropospheric levels, and of more than 15 K in the lower stratosphere. The relative humidity data were found to be affected by dry bias of 5 - 10%, on average, for the RS80-A and RS80-H Humicap sensors and by smaller percentages for the other sensors. The mean monthly vertical profiles of absolute humidity were found to decrease sharply throughout the troposphere, especially within the first 3 km, and to diminish considerably passing from December/January to March/April/ May, with average values of precipitable water decreasing from 0.75 to 0.28 mm, median values from 0.69 to 0.25 mm, and first and third quartiles from 0.60 to 0.22 mm and from 0.87 to 0.34 mm, respectively. The results demonstrate that Dome C ( where a permanent scientific station has been open for winter operations since austral winter 2005) is a site of comparable quality to the South Pole for both validation of satellite radiance measurements and astronomic observations in the infrared, submillimetric, and millimetric wavelength range, performed with large telescopes that cannot be carried on satellites.</t>
  </si>
  <si>
    <t>CNR, ISAC, I-40129 Bologna, Italy; ENEA, Ctr Ric Casaccia, Antarctic Project, I-00060 Rome, Italy; ENEA, Ctr Ric Casaccia, Climate Sect, I-00060 Rome, Italy; Univ Nice, Astrophys Lab, F-06108 Nice 02, France; Univ Idaho, Dept Geog, Moscow, ID 83844 USA; INAF, Inst Space Astrophys &amp; Cosm Phys, I-40129 Bologna, Italy</t>
  </si>
  <si>
    <t>Consiglio Nazionale delle Ricerche (CNR); Istituto di Scienze dell'Atmosfera e del Clima (ISAC-CNR); Italian National Agency New Technical Energy &amp; Sustainable Economics Development; Italian National Agency New Technical Energy &amp; Sustainable Economics Development; Universite Cote d'Azur; Idaho; University of Idaho; Istituto Nazionale Astrofisica (INAF)</t>
  </si>
  <si>
    <t>Tomasi, C (corresponding author), CNR, ISAC, Via Gobetti 101, I-40129 Bologna, Italy.</t>
  </si>
  <si>
    <t>c.tomasi@isac.cnr.it</t>
  </si>
  <si>
    <t>vitale, vito/AAW-8441-2021; Grigioni, paolo/AAH-5193-2020; Pellegrini, Andrea/O-3094-2015</t>
  </si>
  <si>
    <t>vitale, vito/0000-0003-0978-8976; Petkov, Boyan/0000-0002-8328-340X; Pellegrini, Andrea/0000-0001-5577-7472; Valenziano, Luca/0000-0002-1170-0104</t>
  </si>
  <si>
    <t>D20305</t>
  </si>
  <si>
    <t>10.1029/2005JD006976</t>
  </si>
  <si>
    <t>100UT</t>
  </si>
  <si>
    <t>WOS:000241695500004</t>
  </si>
  <si>
    <t>Bisnath, A; Frimmel, HE; Armstrong, RA; Board, WS</t>
  </si>
  <si>
    <t>Bisnath, A.; Frimmel, H. E.; Armstrong, R. A.; Board, W. S.</t>
  </si>
  <si>
    <t>Tectono-thermal evolution of the Maud Belt: New SHRIMP U-Pb zircon data from Gjelsvikfjella, Dronning Maud Land, East Antarctica</t>
  </si>
  <si>
    <t>PRECAMBRIAN RESEARCH</t>
  </si>
  <si>
    <t>zircon geochronology; Gjelsvikfjella; Maud Belt; East Antarctica; Gondwana</t>
  </si>
  <si>
    <t>GRENVILLE-AGE METAMORPHISM; LARGE IGNEOUS PROVINCE; HIGH-GRADE GNEISSES; T-T PATH; 1.1 GA; FACIES METAMORPHISM; HU SVERDRUPFJELLA; QUHA FORMATION; SOUTH-AFRICA; CONSTRAINTS</t>
  </si>
  <si>
    <t>The Maud Belt in Dronning Maud Land (western East Antarctic Craton) preserves a high-grade polyphase tectono-thermal history with two orogenic episodes of Mesoproterozoic (1.2-1.0 Ga) and Neoproterozoic (0.6-0.5 Ga) age. New SHRIMP U-Pb zircon data from southern Gjelsvikfjella in the northeastern part of the belt make it possible to differentiate between a series of magmatic and metamorphic events. The oldest event recorded is the formation of an extensive 1140-1130 Ma volcanic arc. This was followed by 1104 +/- 8 Ma granitoids that might represent, together with so far undated matic dykes, part of a decompression melting-related bimodal suite that reflects the sub-continental Umkondo igneous event. The first high-grade metamorphism is constrained at 1070 Ma. The metamorphic age data are similar to those obtained from other parts of the Maud Belt, but also from the Namaqua-Natal Belt in South Africa, but the preceding arc formation was diachronous in the two belts. This indicates that the two belts did not form a continuous volcanic arc unit as suggested in previous models, but became connected only at the end of the Mesoproterozoic.</t>
  </si>
  <si>
    <t>Univ Cape Town, Dept Geol Sci, ZA-7701 Rondebosch, South Africa; Australian Natl Univ, Canberra, ACT 0200, Australia</t>
  </si>
  <si>
    <t>University of Cape Town; Australian National University</t>
  </si>
  <si>
    <t>Frimmel, HE (corresponding author), Univ Wurzburg, Inst Mineral, D-97074 Wurzburg, Germany.</t>
  </si>
  <si>
    <t>hartwig.frimmel@uni-wuerzburg.de</t>
  </si>
  <si>
    <t>Frimmel, Hartwig/R-3324-2019; Armstrong, Richard/AAT-3953-2020</t>
  </si>
  <si>
    <t>Armstrong, Richard/0000-0001-9479-0143; Frimmel, Hartwig/0000-0003-3041-8208</t>
  </si>
  <si>
    <t>0301-9268</t>
  </si>
  <si>
    <t>1872-7433</t>
  </si>
  <si>
    <t>PRECAMBRIAN RES</t>
  </si>
  <si>
    <t>Precambrian Res.</t>
  </si>
  <si>
    <t>OCT 20</t>
  </si>
  <si>
    <t>10.1016/j.precamres.2006.06.009</t>
  </si>
  <si>
    <t>095OU</t>
  </si>
  <si>
    <t>WOS:000241318100005</t>
  </si>
  <si>
    <t>Duldig, M</t>
  </si>
  <si>
    <t>Duldig, Marc</t>
  </si>
  <si>
    <t>Astronomy: Cosmic rays track the rotation of the milky way</t>
  </si>
  <si>
    <t>ANISOTROPIES</t>
  </si>
  <si>
    <t>Australian Govt, Antarctic Div, Kingston, Tas 7050, Australia</t>
  </si>
  <si>
    <t>Duldig, M (corresponding author), Australian Govt, Antarctic Div, 203 Channel Highway, Kingston, Tas 7050, Australia.</t>
  </si>
  <si>
    <t>marc.duldig@aad.gov.au</t>
  </si>
  <si>
    <t>10.1126/science.1134046</t>
  </si>
  <si>
    <t>096MW</t>
  </si>
  <si>
    <t>WOS:000241382500028</t>
  </si>
  <si>
    <t>Gordillo, S</t>
  </si>
  <si>
    <t>Gordillo, Sandra</t>
  </si>
  <si>
    <t>The presence of Tawera gayi (Hupe in Gay, 1854) (Veneridae, Bivalvia) in southern South America:: Did Tawera achieve a Late Cenozoic circumpolar traverse?</t>
  </si>
  <si>
    <t>Tawera; Cenozoic; South America; paleobiogeography; dispersion; migration routes</t>
  </si>
  <si>
    <t>TIERRA-DEL-FUEGO; BEAGLE CHANNEL; PLEISTOCENE; DISPERSAL; MOLLUSCA; GASTROPODS; REGION; ISLAND; SHELF; COAST</t>
  </si>
  <si>
    <t>Cenozoic Tawera Marwick, 1927 from the Southern Hemisphere exhibits a pattern of disjunt distribution around the southern oceans. A single species, Tawera gayi (Hupe in [Gay, C. (1854). Historia Fisica y Politica de Chile, Zoologia 8. Paris.]) is confined to southern South America. Taking into account the occurrence of Tawera in the fossil record, taxonomy based on shell morphology, and available information on extant species of Tawera, it is plausible that the genus appeared first in southern Australia during the Early Miocene, and then expanded and radiated to New Zealand. It also appears that,Tawera first crossed from Australasia to South America during the Early Pleistocene. This picture can be better explained if Tawera was able to achieve circumglobal range by means of the Antarctic Circumpolar Current. Thus, different potential factors of dispersal (i.e., larval dispersal, drifting, kelp rafting and Pleistocene cooling) are considered and discussed. Shell morphology and overall appearance of Tawera gayi is very similar to Tawera philomela (Smith, 1885) from South Africa and Tawera mawsoni (Hedley, 1916) from Macquarie Island, suggesting these taxa have a close relationship. One postulated explanation, which should be confirmed by means of a phylogenetic study, is a subsequent migration of Tawera from South America arriving first tc the Southern African Region (via the West Wind Drift Islands Province), and then probably coming back again to Australasia. It could have been mediated via the same current during the Late Pleistocene and much later during the Holocene. (c) 2006 Elsevier B.V. All rights reserved.</t>
  </si>
  <si>
    <t>Univ Nacl Cordoba, CIPAL, RA-5000 Cordoba, Argentina</t>
  </si>
  <si>
    <t>National University of Cordoba</t>
  </si>
  <si>
    <t>Gordillo, S (corresponding author), Univ Nacl Cordoba, CIPAL, Av Velez Sarfield 299, RA-5000 Cordoba, Argentina.</t>
  </si>
  <si>
    <t>sgordillo@efn.uncor.edu</t>
  </si>
  <si>
    <t>Gordillo, Sandra/0000-0002-3937-4865</t>
  </si>
  <si>
    <t>OCT 19</t>
  </si>
  <si>
    <t>10.1016/j.palaeo.2006.03.009</t>
  </si>
  <si>
    <t>097FB</t>
  </si>
  <si>
    <t>WOS:000241431200013</t>
  </si>
  <si>
    <t>Lawrence, JF; Wiens, DA; Nyblade, AA; Anandakrishnan, S; Shore, PJ; Voigt, D</t>
  </si>
  <si>
    <t>Lawrence, Jesse F.; Wiens, Douglas A.; Nyblade, Andrew A.; Anandakrishnan, Sridhar; Shore, Patrick J.; Voigt, Donald</t>
  </si>
  <si>
    <t>Crust and upper mantle structure of the Transantarctic Mountains and surrounding regions from receiver functions, surface waves, and gravity: Implications for uplift models</t>
  </si>
  <si>
    <t>Transantarctic Mountains; receiver functions; crustal thickness; phase velocity; flexure; thermal anomaly; seismology : body waves; seismology : continental crust; seismology : lithosphere</t>
  </si>
  <si>
    <t>EAST ANTARCTIC CRATON; NICHING GENETIC ALGORITHM; GEOPHYSICAL INVESTIGATIONS; RIFT FLANKS; ROSS SEA; WEST; BENEATH; INVERSION; BASIN; SEDIMENTARY</t>
  </si>
  <si>
    <t>[ 1] This study uses seismic receiver functions, surface wave phase velocities, and airborne gravity measurements to investigate the structure of the Transantarctic Mountains ( TAM) and adjacent regions of the Ross Sea ( RS) and East Antarctica ( EA). Forty-one broadband seismometers deployed during the Transantarctic Mountain Seismic Experiment provide new insight into the differences between the TAM, RS, and EA crust and mantle. Combined receiver function and phase velocity inversion with niching genetic algorithms produces accurate crustal and upper mantle seismic velocity models. The crustal thickness increases from 20 +/- 2 km in the RS to a maximum of 40 +/- 2 km beneath the crest of the TAM at 110 +/- 10 km inland. Farther inland, the crust of EA is uniformly 35 +/- 3 km thick over a lateral distance greater than 1300 km. Upper mantle shear wave velocities vary from 4.5 km s(-1) beneath EA to 4.2 km s(-1) beneath RS, with a transition between the two at 100 +/- 50 km inland near the crest of the TAM. The similar to 5 km thick crustal root beneath the TAM has an insufficient buoyant load to explain the entire TAM uplift, suggesting some portion of the uplift may result from flexure associated with a buoyant thermal load in the mantle beneath the edge of the TAM lithosphere.</t>
  </si>
  <si>
    <t>Washington Univ, Dept Earth &amp; Planetary Sci, St Louis, MO 63130 USA; Penn State Univ, Dept Geosci, University Pk, PA 16802 USA</t>
  </si>
  <si>
    <t>Washington University (WUSTL); Pennsylvania Commonwealth System of Higher Education (PCSHE); Pennsylvania State University; Pennsylvania State University - University Park</t>
  </si>
  <si>
    <t>Lawrence, JF (corresponding author), Univ Calif San Diego, Scripps Inst Oceanog, IGPP 0225, 9500 Gilman Dr, La Jolla, CA 92093 USA.</t>
  </si>
  <si>
    <t>jlawrence@ucsd.edu</t>
  </si>
  <si>
    <t>Wiens, Douglas A/J-9259-2016; Anandakrishnan, Sridhar/JCN-5026-2023</t>
  </si>
  <si>
    <t>OCT 18</t>
  </si>
  <si>
    <t>Q10011</t>
  </si>
  <si>
    <t>10.1029/2006GC001282</t>
  </si>
  <si>
    <t>100UG</t>
  </si>
  <si>
    <t>WOS:000241694000001</t>
  </si>
  <si>
    <t>Jones, EJW; Okada, H</t>
  </si>
  <si>
    <t>Jones, E. John W.; Okada, Hakuyu</t>
  </si>
  <si>
    <t>Abyssal circulation change in the equatorial Atlantic: Evidence from Cenozoic sedimentary drifts off West Africa</t>
  </si>
  <si>
    <t>Atlantic; seismic reflection profiles; drift deposits; paleocirculation; Antarctic Bottom Water; fracture zones</t>
  </si>
  <si>
    <t>BOTTOM WATER-FLOW; NORTH-ATLANTIC; DEEP-WATER; CONTINENTAL-MARGIN; FRACTURE ZONE; KANE GAP; OCEAN; BASIN; RISE; MASS</t>
  </si>
  <si>
    <t>Seismic profiling in the equatorial Atlantic reveals deep-water (&gt; 4500 m) sediment bodies formed by current-controlled deposition near the intersection of large-offset fracture zones with the African margin. A 600 km-long drift accumulation, the Ivory Coast Rise, lies north of the St Paul Transform near 3 degrees N. A smaller drift deposit has been identified along the northern side of the Guinea Transform at 10 degrees N. Antarctic Bottom Water (AABW), which presently enters the eastern Atlantic basins through the Romanche and Vema Fracture Zones, probably played an important role in the development of these features. Proto-AABW may have reached the equatorial region as early as mid-Eocene time, before the establishment of permanent ice sheets in Antarctica. The Ivory Coast Rise existed as a distinct sedimentary drift by the mid-Eocene as a result of deposition from bottom water moving southwards along the African margin and westwards parallel to the St Paul Fracture Zone. This early flow pattern is in the opposite sense to the present movement of deep water in the Sierra Leone Basin. A reversal in abyssal circulation may have been caused by the northward passage of the region across the paleoequator during the Cenozoic. (c) 2006 Elsevier B.V. All rights reserved.</t>
  </si>
  <si>
    <t>UCL, Dept Earth Sci, London WC1E 6BT, England; Kyushu Univ, Dept Earth &amp; Planetary Sci, Fukuoka 81281, Japan</t>
  </si>
  <si>
    <t>University of London; University College London; Kyushu University</t>
  </si>
  <si>
    <t>Jones, EJW (corresponding author), UCL, Dept Earth Sci, Mortimer St, London WC1E 6BT, England.</t>
  </si>
  <si>
    <t>ejw.jones@ucl.ac.uk</t>
  </si>
  <si>
    <t>10.1016/j.margeo.2006.07.002</t>
  </si>
  <si>
    <t>097RB</t>
  </si>
  <si>
    <t>WOS:000241464800004</t>
  </si>
  <si>
    <t>Franzese, AM; Hemming, SR; Goldstein, SL; Anderson, RF</t>
  </si>
  <si>
    <t>Franzese, Allison M.; Hemming, Sidney R.; Goldstein, Steven L.; Anderson, Robert F.</t>
  </si>
  <si>
    <t>Reduced Agulhas Leakage during the Last Glacial Maximum inferred from an integrated provenance and flux study</t>
  </si>
  <si>
    <t>Agulhas Current; Agulhas Leakage; provenance; strontium isotopes; neodymium isotopes; Th-normalization; constant flux proxy; paleoceanography</t>
  </si>
  <si>
    <t>DEEP-SEA SEDIMENTS; SOUTH-ATLANTIC; INDIAN-OCEAN; THERMOHALINE CIRCULATION; TERRIGENOUS SEDIMENT; STRONTIUM ISOTOPES; LATE PLEISTOCENE; BENGUELA CURRENT; AGE CALIBRATION; ORANGE RIVER</t>
  </si>
  <si>
    <t>Surface and intermediate waters from the Indian Ocean enter the Cape Basin in the southeast Atlantic by the Agulbas Leakage, which adds heat and salt to the Atlantic Ocean, and may act as a positive feedback for the formation of North Atlantic Deep Water (NADW). In order to assess the role of the Agulhas Leakage in past climate change, it is important to constrain whether there was change in its flux in association with warmer and colder global climate intervals. This study uses the radiogenic isotope compositions of strontium and neodymium and the rubidium, strontium, samarium and neodymium concentrations of the terrigenous fraction of sediments from the oceans surrounding South Africa as tracers of sediment provenance, and the initial excess Thorium-230 of the bulk sediments as a constant flux proxy. The purpose is to assess the relationship between sediment sources around southern Africa and Agulhas Current flow for the Holocene and Last Glacial Maximum (LGM). Results point to the Agulhas Current as a major source of sediment to the southern Cape Basin during the Holocene, and show that the surface currents have an important control on the distribution of sediments in the South Atlantic. The Cape Basin data can be explained with three end-member mixing of particulates carried by (1) the Agulhas Current, (2) the South Atlantic or Antarctic Circumpolar Current (SAC or ACC) and (3) locally derived sediments from southern Africa. The composition of each end-member does not change significantly between the LGM and the Holocene. Comparison of the two time-slices show that a smaller fraction of sediment deposited in the Cape Basin is derived from the Agulhas Current during the LGM. The ACC and SAC were more sediment laden during the LGM and western sources were major contributors to the Cape Basin sediments. The data also indicate a much reduced Agulhas contribution to sediments deposited south and southeast of Africa beneath the present-day Agulhas Current flow, indicating a reduced transport of the Agulhas Current and reduced Agulhas Leakage during the LGM. (c) 2006 Elsevier B.V. All rights reserved.</t>
  </si>
  <si>
    <t>Columbia Univ, Lamont Doherty Earth Observ, Dept Earth &amp; Environm Sci, Palisades, NY 10964 USA</t>
  </si>
  <si>
    <t>Franzese, AM (corresponding author), Columbia Univ, Lamont Doherty Earth Observ, Dept Earth &amp; Environm Sci, Palisades, NY 10964 USA.</t>
  </si>
  <si>
    <t>franzese@ldeo.columbia.edu</t>
  </si>
  <si>
    <t>Hemming, Sidney/0000-0001-8117-2303; Franzese, Allison/0000-0003-0311-0830; Anderson, Robert/0000-0002-8472-2494; Goldstein, Steven L/0000-0001-7252-8064</t>
  </si>
  <si>
    <t>OCT 15</t>
  </si>
  <si>
    <t>10.1016/j.epsl.2006.07.002</t>
  </si>
  <si>
    <t>105RV</t>
  </si>
  <si>
    <t>WOS:000242050900007</t>
  </si>
  <si>
    <t>Squire, RJ; Campbell, IH; Allen, CM; Wilson, CJL</t>
  </si>
  <si>
    <t>Squire, Richard J.; Campbell, Ian H.; Allen, Charlotte M.; Wilson, Christopher J. L.</t>
  </si>
  <si>
    <t>Did the Transgondwanan Supermountain trigger the explosive radiation of animals on Earth?</t>
  </si>
  <si>
    <t>gondwana; detrital zircons; tectonics; Cambrian Explosion</t>
  </si>
  <si>
    <t>EAST ANTARCTIC SHIELD; DETRITAL-ZIRCON; PAN-AFRICAN; CONTINENTAL COLLISION; TECTONIC IMPLICATIONS; DELAMERIAN OROGENY; DISSOLUTION RATES; PACIFIC MARGIN; ACTIVE-MARGIN; SOUTH CHINA</t>
  </si>
  <si>
    <t>The explosive radiation of animals on Earth during the late Early Cambrian period (similar to 530-510 Ma) coincides with the deposition of enormous volumes of continentally derived sedimentary rocks throughout Gondwana. We show here, that these quartz-rich sedimentary units, collected from five continents, display remarkably similar detrital-zircon U-Pb age-patterns and propose that they were sourced from either side of a &gt; 8000-km-long and generally &gt; 1000-km-wide mountain chain (the Transgondwanan Supermountain), which formed following oblique collision between East and West Gondwana, commencing at 3 similar to 650 Ma. The depositional system supplied by this mountain chain was &gt; 100 km(3), which is equivalent to covering all 50 states of the USA with similar to 10 km of sediment, and it lasted for at least 260 Myr. The enormous size of the vegetation-free mountain chain, its position close to the equator and the dramatic changes in global plate-motion in response to the cessation in continent-continent collision, together with the possible appearance of biota in the soils that promoted rapid chemical weathering, resulted in extreme erosion and sedimentation rates that are arguably the highest in the geological record. This led to an unprecedented flux of P, Fe, Sr, Ca and bicarbonate ions into the oceans. The addition of Sr was responsible for seawater Sr-87/(86) Sr building up to the highest levels in Earth's history, whereas the addition of P and Fe provided the essential nutrients that supported a bloom of primitive life that in turn provided abundant food to support the Cambrian explosion of life. The addition of Ca and bicarbonate ions increased CaCO3 supersaturation in the oceans, which allowed species in numerous phyla to simultaneously develop skeletons. (c) 2006 Elsevier B.V. All rights reserved.</t>
  </si>
  <si>
    <t>Univ Melbourne, Sch Earth Sci, Melbourne, Vic 3010, Australia; Australian Natl Univ, Res Sch Earth Sci, Canberra, ACT 0200, Australia</t>
  </si>
  <si>
    <t>University of Melbourne; Melbourne Bioinformatics; Australian National University</t>
  </si>
  <si>
    <t>Squire, RJ (corresponding author), Monash Univ, Sch Geosci, Clayton, Vic 3800, Australia.</t>
  </si>
  <si>
    <t>Rick.Squire@sci.monash.edu.au</t>
  </si>
  <si>
    <t>Squire, Richard/ABB-5605-2021; Campbell, Ian/A-4941-2008</t>
  </si>
  <si>
    <t>Allen, Charlotte Mary/0000-0002-7288-6758; Campbell, Ian/0000-0001-8578-0154</t>
  </si>
  <si>
    <t>10.1016/j.epsl.2006.07.032</t>
  </si>
  <si>
    <t>WOS:000242050900010</t>
  </si>
  <si>
    <t>Studinger, M; Bell, RE; Fitzgerald, PG; Buck, WR</t>
  </si>
  <si>
    <t>Studinger, Michael; Bell, Robin E.; Fitzgerald, Paul G.; Buck, W. Roger</t>
  </si>
  <si>
    <t>Crustal architecture of the Transantarctic Mountains between the Scott and Reedy Glacier region and South Pole from aerogeophysical data</t>
  </si>
  <si>
    <t>Antarctica; Transantarctic Mountains; aerogeophysics; gravity; magnetics; radar echo sounding</t>
  </si>
  <si>
    <t>LAKE VOSTOK; ANTARCTICA; CONSTRAINTS; BENEATH; AUSTRALIA; FRAMEWORK; GONDWANA; GRAVITY; GEOLOGY; MARGIN</t>
  </si>
  <si>
    <t>Aerogeophysical data collected in transects between the South Pole and West Antarctica, crossing the Transantarctic Mountains at the 150 degrees W meridian, are used to constrain the sub-ice topography, the sub-ice geology and the inland structure of the Transantarctic Mountains. Forward modeling of gravity data suggests slight crustal thickening of 5 km beneath the mountain front indicating partial isostatic compensation by thickened crust. New magnetic data help characterize the sub-ice geology inland of the Transantarctic Mountains with the observed magnetic anomaly field dominated by Granite Harbour Intrusives, similar to the magnetic field in Victoria Land. However, the typical pattern of anomalies caused by Jurassic tholeiitic magmatism elsewhere along the Transantarctic Mountains is not observed, nor is the mesa topography that is often associated with the Ferrar Dolerite. Together, these observations rule out the widespread presence of Ferrar Dolerite sills within the survey area. A pronounced magnetic lineament, herein named the South Pole Lineament, parallel to the 0 degrees/180 degrees longitudinal meridian, beneath the South Pole defines a previously unknown tectonic trend of the East Antarctic craton. The lineament suggests the presence of a lithospheric-scale structure beneath South Pole, projecting into a fault mapped from ice-penetrating radar data and extending to Shackleton Glacier, the site of a major geological boundary across the Transantarctic Mountains. Potentially, the lineament is the expression of the edge of the undeformed craton, an inherited structure created during assembly or breakup of Rodinia and Gondwana supercontinents; or an intracontinental transform. (c) 2006 Elsevier B.V. All rights reserved.</t>
  </si>
  <si>
    <t>Columbia Univ, Lamont Doherty Earth Observ, Palisades, NY 10964 USA; Syracuse Univ, Dept Earth Sci, Syracuse, NY 13244 USA</t>
  </si>
  <si>
    <t>Columbia University; Syracuse University</t>
  </si>
  <si>
    <t>Studinger, M (corresponding author), Columbia Univ, Lamont Doherty Earth Observ, Palisades, NY 10964 USA.</t>
  </si>
  <si>
    <t>mstuding@ldeo.columbia.edu</t>
  </si>
  <si>
    <t>Studinger, Michael/0000-0003-1265-4741</t>
  </si>
  <si>
    <t>10.1016/j.epsl.2006.07.035</t>
  </si>
  <si>
    <t>WOS:000242050900013</t>
  </si>
  <si>
    <t>Marshall, GJ; Orr, A; van Lipzig, NPM; King, JC</t>
  </si>
  <si>
    <t>Marshall, Gareth J.; Orr, Andrew; van Lipzig, Nicole P. M.; King, John C.</t>
  </si>
  <si>
    <t>The impact of a changing Southern Hemisphere Annular Mode on Antarctic Peninsula summer temperatures</t>
  </si>
  <si>
    <t>RECENT CLIMATE VARIABILITY; ICE SHELF COLLAPSE; SURFACE-TEMPERATURE; OSCILLATION INDEX; CIRCULATION; TRENDS; REANALYSIS; PRESSURE; SYSTEM; ERA-40</t>
  </si>
  <si>
    <t>Since the mid-1960s, rapid regional summer warming has occurred on the east coast of the northern Antarctic Peninsula, with near-surface temperatures increasing by more than 2 degrees C. This warming has contributed significantly to the collapse of the northern sections of the Larsen Ice Shelf. Coincident with this warming, the summer Southern Hemisphere Annular Mode (SAM) has exhibited a marked trend, suggested by modeling studies to be predominantly a response to anthropogenic forcing, resulting in increased westerlies across the northern peninsula. Observations and reanalysis data are utilized to demonstrate that the changing SAM has played a key role in driving this local summer warming. It is proposed that the stronger summer westerly winds reduce the blocking effect of the Antarctic Peninsula and lead to a higher frequency of air masses being advected eastward over the orographic barrier of the northern Antarctic Peninsula. When this occurs, a combination of a climatological temperature gradient across the barrier and the formation of a fohn wind on the lee side typically results in a summer near-surface temperature sensitivity to the SAM that is 3 times greater on the eastern side of the peninsula than on the west. SAM variability is also shown to play a less important role in determining summer temperatures at stations west of the barrier in the northern peninsula (similar to 62 degrees S), both at the surface and throughout the troposphere. This is in contrast to a station farther south (similar to 65 degrees S) where the SAM exerts little influence.</t>
  </si>
  <si>
    <t>British Antarctic Survey, Nat Environm Res Council, Cambridge CB3 0ET, England; UCL, Dept Space &amp; Climate Phys, London, England; Katholieke Univ Leuven, Phys &amp; Reg Geog Res Grp, Louvain, Belgium</t>
  </si>
  <si>
    <t>UK Research &amp; Innovation (UKRI); Natural Environment Research Council (NERC); NERC British Antarctic Survey; University of London; University College London; KU Leuven</t>
  </si>
  <si>
    <t>Marshall, GJ (corresponding author), British Antarctic Survey, Nat Environm Res Council, High Cross Madingley Rd, Cambridge CB3 0ET, England.</t>
  </si>
  <si>
    <t>gjma@pcmail.nbs.ac.uk</t>
  </si>
  <si>
    <t>van Lipzig, Nicole/ABF-2964-2021</t>
  </si>
  <si>
    <t>van Lipzig, Nicole/0000-0003-2899-4046</t>
  </si>
  <si>
    <t>10.1175/JCLI3844.1</t>
  </si>
  <si>
    <t>101QQ</t>
  </si>
  <si>
    <t>WOS:000241755900020</t>
  </si>
  <si>
    <t>Picard, G; Fily, M</t>
  </si>
  <si>
    <t>Picard, G.; Fily, M.</t>
  </si>
  <si>
    <t>Surface melting observations in Antarctica by microwave radiometers: Correcting 26-year time series from changes in acquisition hours</t>
  </si>
  <si>
    <t>surface melting; Antarctica; climate; passive microwave; brightness temperature</t>
  </si>
  <si>
    <t>MASS-BALANCE; ICE SHELVES; PENINSULA; GREENLAND; VARIABILITY; SENSORS; TRENDS; SHEET</t>
  </si>
  <si>
    <t>Surface melting duration and extent of the Antarctic coasts and ice-shelves is a climatic indicator related to the summer temperature and radiative budget. Surface melting is easily detectable by remote sensing using passive microwave observations. The preliminary goal of this study is to extend to 26 years an existing data set of surface melting [Torinesi, O., Fily, M., Genthon, C. (2003), Interannual variability and trend of the Antarctic summer melting period from 20 years of spaceborne microwave data, J. Climate, 16(7), pp. 1047-1060] by including the most recent years of observation. These data come from 4 microwave sensors (the Scanning Multichannel Microwave Radiometer (SMMR) and three Special Sensor Microwave Imager (SSM/I)) observing the surface at different hours of the day. Since surface melting varies throughout the day as the air temperature or the radiation, the interannual melting extent and duration time series are biased by sensor changes. Using all the sensors simultaneously available since 2002, we were able to model the diurnal variations of melting and use this hourly model to correct the long-term time series. This results in an unbiased 26-year long time series better suited for climate analysis. The cooling trend found by Torinesi et al. using uncorrected time series for the 1980-1999 period is confirmed but the decreasing rate is weaker after correction. Furthermore, extending the series up to summer 2004-2005 reveals recent changes: the last 2 summers have been particularly warmer over all the East Antarctica compared to the 10 previous years, thus ending the cold period of the 1990s. The trend over 1980-2005 is no longer toward cooling but complex climatic variations appear. The time series are available at http://www.lgge.obs.ujf-grenoble.fr/-picard/melting/. (c) 2006 Elsevier Inc. All rights reserved.</t>
  </si>
  <si>
    <t>UJF, CNRS, Lab Glaciol &amp; Geophys Environm, F-38400 St Martin Dheres, France</t>
  </si>
  <si>
    <t>Picard, G (corresponding author), UJF, CNRS, Lab Glaciol &amp; Geophys Environm, 54 Rue Moliere, F-38400 St Martin Dheres, France.</t>
  </si>
  <si>
    <t>ghislain.picard@lgge.obs.ujf-grenoble.fr; michel.fily@lgge.obs.ujf-grenoble.fr</t>
  </si>
  <si>
    <t>Picard, Ghislain/D-4246-2013</t>
  </si>
  <si>
    <t>Picard, Ghislain/0000-0003-1475-5853</t>
  </si>
  <si>
    <t>10.1016/j.rse.2006.05.010</t>
  </si>
  <si>
    <t>092ER</t>
  </si>
  <si>
    <t>WOS:000241080300006</t>
  </si>
  <si>
    <t>Karlöf, L; Winebrenner, DP; Percival, DB</t>
  </si>
  <si>
    <t>Karlof, Lars; Winebrenner, Dale P.; Percival, Donald B.</t>
  </si>
  <si>
    <t>How representative is a time series derived from a firn core?: A study at a low-accumulation site on the Antarctic plateau</t>
  </si>
  <si>
    <t>JOURNAL OF GEOPHYSICAL RESEARCH-EARTH SURFACE</t>
  </si>
  <si>
    <t>DRONNING MAUD LAND; ICE-CORE; WAVELET ANALYSIS</t>
  </si>
  <si>
    <t>[ 1] The acquisition and interpretation of increasingly high-resolution climate data from polar ice and firn cores motivates the question: What is the finest depth or timescale on which measurements on cores arrayed over a given area correlate? We analyze dated depth series of electrical and oxygen isotope measurements from a spatial array of firn cores with 3.5 - 7 km spacing in Dronning Maud Land, Antarctica, each with a temporal span of approximately 200 years. We use wavelet analysis to decompose the series into components associated with changes of averages on different scales, and thus deduce which scales are dominated by environmental noise, and which may contain a common signal. We find that common signals in electrical records have timescales of approximately 1 - 3 years. We identify only one electrical signal which rises significantly above the background in our 200-year records, evidently corresponding to the Tambora eruption. Several smaller signals correlate in a few of pairs of cores, one of which may correspond to a known volcanic event, but the others appear to be spurious. We present a simulation-based method for testing the significance of apparent electrical signal correlations, and highlight the importance of accurate relative dating between cores. In the case of oxygen-isotope records, we find, surprisingly, no significant correlation on any scale in the records, for any of the pairs of cores. There is, however, a weak trend toward positive correlation at longer timescales ( up to 16 years). Statistical theory for the relevant confidence intervals and the observed statistics of the records permit estimation of the length of a data series necessary to reliably detect a hypothetical correlation equal to that observed. For the highest correlation observed on 16-year scales, core records of about 380 years ( approximately 30 m at the Dronning Maud Land site) would be necessary to establish significance.</t>
  </si>
  <si>
    <t>Norwegian Polar Res Inst, Polar Environm Ctr, Tromso, Norway; Univ Washington, Appl Phys Lab, Seattle, WA 98195 USA</t>
  </si>
  <si>
    <t>Norwegian Polar Institute; University of Washington; University of Washington Seattle</t>
  </si>
  <si>
    <t>Karlöf, L (corresponding author), Swix Sport AS, Res &amp; Dev, NO-2626 Lillehammer, Norway.</t>
  </si>
  <si>
    <t>karlof@swixsport.no</t>
  </si>
  <si>
    <t>2169-9003</t>
  </si>
  <si>
    <t>2169-9011</t>
  </si>
  <si>
    <t>J GEOPHYS RES-EARTH</t>
  </si>
  <si>
    <t>J. Geophys. Res.-Earth Surf.</t>
  </si>
  <si>
    <t>OCT 13</t>
  </si>
  <si>
    <t>F4</t>
  </si>
  <si>
    <t>F04001</t>
  </si>
  <si>
    <t>10.1029/2006JF000552</t>
  </si>
  <si>
    <t>095HJ</t>
  </si>
  <si>
    <t>WOS:000241298500001</t>
  </si>
  <si>
    <t>McCave, IN; Hall, IR</t>
  </si>
  <si>
    <t>McCave, I. N.; Hall, I. R.</t>
  </si>
  <si>
    <t>Size sorting in marine muds: Processes, pitfalls, and prospects for paleoflow-speed proxies</t>
  </si>
  <si>
    <t>sortable silt; grain size; paleocurrent; flow speed; ocean circulation; contourite; sediment drift; marine geology and geophysics : marine sediments : processes and transport; oceanography : physical : western boundary currents; paleoceanography : thermohaline</t>
  </si>
  <si>
    <t>WESTERN BOUNDARY UNDERCURRENT; SCOTIAN CONTINENTAL RISE; GLACIAL NORTH-ATLANTIC; BOTTOM-CURRENT SPEED; GRAINED UNFLOCCULATED SEDIMENTS; ANTARCTIC CIRCUMPOLAR CURRENT; LAST INTERGLACIAL PERIOD; DEEP-SEA STORMS; ARGENTINE BASIN; VEMA CHANNEL</t>
  </si>
  <si>
    <t>[1] The basis for, and use of, fine grain size parameters for inference of paleoflow speeds is reviewed here. The basis resides in data on deposited sediment taken in conjunction with flow speed measurements in the field, experimental data on suspended sediment transport and deposition, and theoretical treatments of the generation of size distributions of deposits from suspension controlled by particle settling velocity and flow speed. In the deep sea, sorting events occur under resuspension/deposition events in benthic storms. At flow speeds below 10 - 15 cm s(-1), size in the noncohesive sortable silt'' ( 10 - 63 mm) range is controlled by selective deposition, whereas above that range, removal of finer material by winnowing also plays a role. The best particle size instruments to measure a flow speed - related grain size employ the settling velocity method, while laser diffraction sizers can yield misleading results because of particle shape effects. Potential problems, including source effects, downslope supply on continental margins, spatial variability of flow over bedforms, and influence of ice-rafted detritus, are examined. A number of studies using the sortable silt flow speed proxy are reviewed, and inverse modeling of grain size distributions is examined. Outstanding problems are that corroboration is sparse because almost no studies have yet used the full range of proxies for flow rate and water mass identification and that the sortable silt mean size is not yet properly calibrated in terms of flow speed.</t>
  </si>
  <si>
    <t>Univ Cambridge, Dept Earth Sci, Godwin Lab Palaeoclimate Res, Cambridge CB2 3EQ, England; Cardiff Univ, Sch Earth Ocean &amp; Planetary Sci, Cardiff CF10 3YE, Wales</t>
  </si>
  <si>
    <t>University of Cambridge; Cardiff University</t>
  </si>
  <si>
    <t>McCave, IN (corresponding author), Univ Cambridge, Dept Earth Sci, Godwin Lab Palaeoclimate Res, Downing St, Cambridge CB2 3EQ, England.</t>
  </si>
  <si>
    <t>mccave@esc.cam.ac.uk</t>
  </si>
  <si>
    <t>McCave, Nick N/G-7323-2016; McCave, I. Nick/O-3992-2018; Hall, Ian/C-2755-2009</t>
  </si>
  <si>
    <t>McCave, Nick N/0000-0002-4702-5489; McCave, I. Nick/0000-0002-4702-5489; Hall, Ian/0000-0001-6960-1419</t>
  </si>
  <si>
    <t>Natural Environment Research Council [NER/T/S/2002/00436] Funding Source: researchfish</t>
  </si>
  <si>
    <t>OCT 11</t>
  </si>
  <si>
    <t>Q10N05</t>
  </si>
  <si>
    <t>10.1029/2006GC001284</t>
  </si>
  <si>
    <t>095FO</t>
  </si>
  <si>
    <t>WOS:000241293800002</t>
  </si>
  <si>
    <t>Clilverd, MA; Seppälä, A; Rodger, CJ; Verronen, PT; Thomson, NR</t>
  </si>
  <si>
    <t>Clilverd, Mark A.; Seppala, Annika; Rodger, Craig J.; Verronen, Pekka T.; Thomson, Neil R.</t>
  </si>
  <si>
    <t>Ionospheric evidence of thermosphere-to-stratosphere descent of polar NOX</t>
  </si>
  <si>
    <t>LOWER ATMOSPHERE; EVENTS; WINTER</t>
  </si>
  <si>
    <t>During the northern hemisphere winter of 2003 - 2004 significant levels of stratospheric odd nitrogen (NOX) were observed descending from the mesosphere. Here we study subionospheric radio wave propagation data from Ny Alesund, Svalbard, Norway to determine the origin of the mesospheric NOX. A clear change in the radio wave diurnal variation is observed, starting on January 13, 2004, lasting for 37 days. The behavior is consistent with the ionization, by Lyman-alpha, of thermospheric NOX descending into the mesosphere from altitudes above 90 km. Estimates of the concentration of NOX required to produce the observed ionization changes are consistent with the levels of previously published stratospheric mixing ratios after the NOX has descended into the stratosphere. The radio wave data shows that no significant proton or electron precipitation events into the mesosphere occurred at this time, and the mesospheric effects of the large storms in October/November 2003 had abated by late December 2003.</t>
  </si>
  <si>
    <t>British Antarctic Survey, Div Phys Sci, Cambridge CB3 0ET, England; Finnish Meteorol Inst, FIN-00101 Helsinki, Finland; Univ Otago, Dept Phys, Dunedin, New Zealand</t>
  </si>
  <si>
    <t>UK Research &amp; Innovation (UKRI); Natural Environment Research Council (NERC); NERC British Antarctic Survey; Finnish Meteorological Institute; University of Otago</t>
  </si>
  <si>
    <t>Clilverd, MA (corresponding author), British Antarctic Survey, Div Phys Sci, High Cross,Madingley Rd, Cambridge CB3 0ET, England.</t>
  </si>
  <si>
    <t>macl@bas.ac.uk; annika.seppala@fmi.fi; crodger@physics.otago.ac.nz; pekka.verronen@fmi.fi; thomson@physics.otago.ac.nz</t>
  </si>
  <si>
    <t>Verronen, P. T./AIE-0203-2022; Verronen, Pekka T/G-6658-2014; Rodger, Craig/A-1501-2011; Seppälä, Annika/C-8031-2014</t>
  </si>
  <si>
    <t>Verronen, P. T./0000-0002-3479-9071; Seppälä, Annika/0000-0002-5028-8220; Rodger, Craig J./0000-0002-6770-2707</t>
  </si>
  <si>
    <t>OCT 7</t>
  </si>
  <si>
    <t>L19811</t>
  </si>
  <si>
    <t>10.1029/2006GL026727</t>
  </si>
  <si>
    <t>092SV</t>
  </si>
  <si>
    <t>WOS:000241118500005</t>
  </si>
  <si>
    <t>Biesuz, R; Alberti, G; D'Agostino, G; Magi, E; Pesavento, M</t>
  </si>
  <si>
    <t>Biesuz, Raffaela; Alberti, Giancarla; D'Agostino, Girolamo; Magi, Emanuele; Pesavento, Maria</t>
  </si>
  <si>
    <t>Determination of cadmium(II), copper(II), manganese(II) and nickel(II) species in Antarctic seawater with complexing resins</t>
  </si>
  <si>
    <t>MARINE CHEMISTRY</t>
  </si>
  <si>
    <t>natural ligands in seawater; speciation of metal ions; resin titration; seawater</t>
  </si>
  <si>
    <t>METAL-IONS; ORGANIC-LIGANDS; NATURAL-WATERS; SEA-WATER; SORPTION; COMPLEXATION; SPECIATION; TITRATION</t>
  </si>
  <si>
    <t>The strong species of cadmium(II), copper(H), manganese(H) and nickel(II) in an Antarctic seawater sample are investigated by a method based on the sorption of metal ions on complexing resins. The resins compete with the ligands present in the sample to combine with the metal ions. Two resins with different adsorbing strengths were used. Very stable metal complexes were investigated with the strong sorbent Chelex 100 and weaker species with the less strong resin, Amberlite CG-50. Strong species were detected for three of the considered metal ions, but not for Mn(II). Cu(II) is completely linked to species with a side reaction coefficient as high as log alpha(M(I))=11.6 at pH =7.3. The ligand concentration was found to be similar to that of the metal ion, and the conditional stability constant was around 10(20) M-1. In the considered sample, only a fraction of the metal ions Cd(II) and Ni(II) is bound to the strong ligands, with side reaction coefficients equal to log alpha(M(I))=5.5 and 6.5 at pH =7.3 for Cd(II) and Ni(II), respectively. These findings were confirmed by the test with the weaker sorbent Amberlite CG-50. It can be calculated from the sorption equilibria that neither Mn(II) nor Ni(II) is adsorbed on Amberlite CG-50 under the considered conditions and, in fact, only a negligible fraction of Mn(H) and Ni(H) was adsorbed. A noticeable fraction of Cd(II) was adsorbed on Amberlite CG-50, meaning that cadmium(II) is partially linked to weak ligands, possibly chloride, while no copper(II) was adsorbed on this resin, confirming that copper(II) is only combined in strong species. These results are similar, but not identical, to those obtained for other seawater samples examined in previous investigations. (c) 2006 Elsevier B.V. All rights reserved.</t>
  </si>
  <si>
    <t>Univ Pavia, Dipartimento Chim Gen, I-27100 Pavia, Italy; Univ Genoa, Dipartimento Chim &amp; Chim Ind, Genoa, Italy</t>
  </si>
  <si>
    <t>University of Pavia; University of Genoa</t>
  </si>
  <si>
    <t>Biesuz, R (corresponding author), Univ Pavia, Dipartimento Chim Gen, Via Taramelli,12, I-27100 Pavia, Italy.</t>
  </si>
  <si>
    <t>rbiesuz@unipv.it</t>
  </si>
  <si>
    <t>Alberti, Giancarla/P-5736-2018; Magi, Emanuele/C-9564-2011</t>
  </si>
  <si>
    <t>Magi, Emanuele/0000-0002-8183-5020; Biesuz, Raffaela/0000-0002-2192-5032; Alberti, Giancarla/0000-0003-4106-2219</t>
  </si>
  <si>
    <t>0304-4203</t>
  </si>
  <si>
    <t>1872-7581</t>
  </si>
  <si>
    <t>MAR CHEM</t>
  </si>
  <si>
    <t>Mar. Chem.</t>
  </si>
  <si>
    <t>OCT 5</t>
  </si>
  <si>
    <t>10.1016/j.marchem.2006.02.006</t>
  </si>
  <si>
    <t>Chemistry, Multidisciplinary; Oceanography</t>
  </si>
  <si>
    <t>Chemistry; Oceanography</t>
  </si>
  <si>
    <t>074YU</t>
  </si>
  <si>
    <t>WOS:000239849400003</t>
  </si>
  <si>
    <t>Kaser, G; Cogley, JG; Dyurgerov, MB; Meier, MF; Ohmura, A</t>
  </si>
  <si>
    <t>Kaser, G.; Cogley, J. G.; Dyurgerov, M. B.; Meier, M. F.; Ohmura, A.</t>
  </si>
  <si>
    <t>Mass balance of glaciers and ice caps: Consensus estimates for 1961-2004</t>
  </si>
  <si>
    <t>ALASKA; GREENLAND; CLIMATE</t>
  </si>
  <si>
    <t>Working with comprehensive collections of directly-measured data on the annual mass balance of glaciers other than the two ice sheets, we combine independent analyses to show that there is broad agreement on the evolution of global mass balance since 1960. Mass balance was slightly below zero around 1970 and has been growing more negative since then. Excluding peripheral ice bodies in Greenland and Antarctica, global average specific balance for 1961-1990 was -219 +/- 112 kg m(-2) a(-1), representing 0.33 +/- 0.17 mm SLE (sea-level equivalent) a(-1). For 2001-2004, the figures are -510 +/- 101 kg m(-2) a(-1) and 0.77 +/- 0.15 mm SLE a(-1). Including the smaller Greenland and Antarctic glaciers, global total balance becomes 0.38 +/- 0.19 mm SLE a(-1) for 1961-1990 and 0.98 +/- 0.19 mm SLE a(-1) for 2001-2004. For 1991-2004 the glacier contribution, 0.77 +/- 0.26 mm SLE a(-1), is 20-30% of a recent estimate of 3.2 +/- 0.4 mm a(-1) of total sea-level rise for 1993-2005. While our error estimates are not rigorous, we believe them to be liberal as far as they go, but we also discuss several unquantified biases of which any may prove to be significant.</t>
  </si>
  <si>
    <t>Univ Innsbruck, Inst Geog, A-6020 Innsbruck, Austria; Trent Univ, Dept Geog, Peterborough, ON K9J 7B8, Canada; Univ Colorado, Inst Arctic &amp; Alpine Res, Boulder, CO 80309 USA; ETH, Inst Atmospher &amp; Climate Sci, CH-8092 Zurich, Switzerland</t>
  </si>
  <si>
    <t>University of Innsbruck; Trent University; University of Colorado System; University of Colorado Boulder; Swiss Federal Institutes of Technology Domain; ETH Zurich</t>
  </si>
  <si>
    <t>Kaser, G (corresponding author), Univ Innsbruck, Inst Geog, Innrain 52, A-6020 Innsbruck, Austria.</t>
  </si>
  <si>
    <t>georg.kaser@uibk.ac.at; gcogley@trentu.ca; mark.dyurgerov@colorado.edu; mark.meier@colorado.edu; atsumu.ohmura@env.ethz.ch</t>
  </si>
  <si>
    <t>Jiao, Liqing/A-8821-2011</t>
  </si>
  <si>
    <t>Kaser, Georg/0000-0001-5916-6206</t>
  </si>
  <si>
    <t>OCT 4</t>
  </si>
  <si>
    <t>L19501</t>
  </si>
  <si>
    <t>10.1029/2006GL027511</t>
  </si>
  <si>
    <t>092SQ</t>
  </si>
  <si>
    <t>WOS:000241118000008</t>
  </si>
  <si>
    <t>Kato, S; Loeb, NG; Minnis, P; Francis, JA; Charlock, TP; Rutan, DA; Clothiaux, EE; Sun-Mack, S</t>
  </si>
  <si>
    <t>Kato, Seiji; Loeb, Norman G.; Minnis, Patrick; Francis, Jennifer A.; Charlock, Thomas P.; Rutan, David A.; Clothiaux, Eugene E.; Sun-Mack, Szedung</t>
  </si>
  <si>
    <t>Seasonal and interannual variations of top-of-atmosphere irradiance and cloud cover over polar regions derived from the CERES data set</t>
  </si>
  <si>
    <t>ANGULAR-DISTRIBUTION MODELS; RADIATIVE FLUX ESTIMATION; ENERGY SYSTEM INSTRUMENT; ARCTIC-OCEAN; ANNUAL CYCLE; WATER-VAPOR; PART I; SATELLITE; TEMPERATURE; AEROSOL</t>
  </si>
  <si>
    <t>The daytime cloud fraction derived by the Clouds and the Earth's Radiant Energy System (CERES) cloud algorithm using Moderate Resolution Imaging Spectroradiometer (MODIS) radiances over the Arctic from March 2000 through February 2004 increases at a rate of 0.047 per decade. The trend is significant at an 80% confidence level. The corresponding top-of-atmosphere (TOA) shortwave irradiances derived from CERES radiance measurements show less significant trend during this period. These results suggest that the influence of reduced Arctic sea ice cover on TOA reflected shortwave radiation is reduced by the presence of clouds and possibly compensated by the increase in cloud cover. The cloud fraction and TOA reflected shortwave irradiance over the Antarctic show no significant trend during the same period.</t>
  </si>
  <si>
    <t>NASA, Climate Sci Branch, Langley Res Ctr, Hampton, VA 23681 USA; Hampton Univ, Ctr Atmospher Sci, Hampton, VA 23668 USA; Rutgers State Univ, Inst Marine &amp; Coastal Sci, New Brunswick, NJ 08901 USA; Analyt Serv &amp; Mat Inc, Hampton, VA 23666 USA; Penn State Univ, Dept Meteorol, University Pk, PA 16802 USA; Sci Applicat Int Corp, Hampton, VA USA</t>
  </si>
  <si>
    <t>National Aeronautics &amp; Space Administration (NASA); NASA Langley Research Center; Hampton University; Rutgers University System; Rutgers University New Brunswick; Pennsylvania Commonwealth System of Higher Education (PCSHE); Pennsylvania State University; Pennsylvania State University - University Park; Science Applications International Corporation (SAIC)</t>
  </si>
  <si>
    <t>Kato, S (corresponding author), NASA, Climate Sci Branch, Langley Res Ctr, Mail Stop 420, Hampton, VA 23681 USA.</t>
  </si>
  <si>
    <t>s.kato@larc.nasa.gov</t>
  </si>
  <si>
    <t>Keyes, Dennis/AAZ-9285-2021; Francis, Jennifer/JPX-0349-2023; Loeb, Norman/ABC-7817-2021; Minnis, Patrick/G-1902-2010</t>
  </si>
  <si>
    <t>Minnis, Patrick/0000-0002-4733-6148</t>
  </si>
  <si>
    <t>L19804</t>
  </si>
  <si>
    <t>10.1029/2006GL026685</t>
  </si>
  <si>
    <t>Green Submitted, Green Published</t>
  </si>
  <si>
    <t>WOS:000241118000001</t>
  </si>
  <si>
    <t>Ansorge, IJ; Lutjeharms, JRE; Swart, NC; Durgadoo, JV</t>
  </si>
  <si>
    <t>Ansorge, I. J.; Lutjeharms, J. R. E.; Swart, N. C.; Durgadoo, J. V.</t>
  </si>
  <si>
    <t>Observational evidence for a cross frontal heat pump in the Southern Ocean</t>
  </si>
  <si>
    <t>ANTARCTIC CIRCUMPOLAR CURRENT; INDIAN RIDGE; CIRCULATION; TRANSPORTS; EDDIES</t>
  </si>
  <si>
    <t>Transient eddies in the Southern Ocean play a central role in the global thermohaline circulation. Meridional exchange of heat and salt is not geographically uniformly distributed, but may be concentrated in a number of specific regions where high levels of mesoscale turbulence are generated. We have identified a powerful example of such a region at the South-West Indian Ridge in which cross-ACC heat transport is dependent on eddy shedding. We show that Antarctic eddies are shed across the APF into the Subantarctic at an average of 3 a year and that they have a longevity of 11 months. Furthermore, we calculate the meridional heat and salt deficit of -5.6 +/- 1.5 x 10(19) J and -8.1 +/- 1.5 x 10(11) kg relative to the surrounding Subantarctic waters of one such eddy. Despite the importance of this process, eddy heat transport remains one of the most poorly observed quantities in the Southern Ocean.</t>
  </si>
  <si>
    <t>Univ Cape Town, Dept Oceanog, Ocean Climatol Res Grp, ZA-7701 Rondebosch, South Africa</t>
  </si>
  <si>
    <t>Ansorge, IJ (corresponding author), Univ Cape Town, Dept Oceanog, Ocean Climatol Res Grp, ZA-7701 Rondebosch, South Africa.</t>
  </si>
  <si>
    <t>ansorge@ocean.uct.ac.za</t>
  </si>
  <si>
    <t>ANSORGE, ISABELLE/AAY-7396-2020; Swart, Neil/Q-6608-2019</t>
  </si>
  <si>
    <t>Swart, Neil/0000-0002-8200-6187; Durgadoo, Jonathan/0000-0001-6297-5178; Ansorge, Isabelle/0000-0001-7071-8147</t>
  </si>
  <si>
    <t>OCT 3</t>
  </si>
  <si>
    <t>L19601</t>
  </si>
  <si>
    <t>10.1029/2006GL026174</t>
  </si>
  <si>
    <t>092SO</t>
  </si>
  <si>
    <t>WOS:000241117800002</t>
  </si>
  <si>
    <t>Hawes, TC; Bale, JS; Convey, P; Worland, R</t>
  </si>
  <si>
    <t>Hawes, Timothy C.; Bale, Jeffrey S.; Convey, Peter; Worland, Roger</t>
  </si>
  <si>
    <t>Ecologically realistic modalities in arthropod supercooling point distributions</t>
  </si>
  <si>
    <t>EUROPEAN JOURNAL OF ENTOMOLOGY</t>
  </si>
  <si>
    <t>cold hardiness; supercooling point; categories of cold hardiness; bimodality</t>
  </si>
  <si>
    <t>INSECT COLD-HARDINESS; FREEZE TOLERANCE; CAPE HALLETT; SIGNY ISLAND; COLLEMBOLA; DESICCATION; STRESS</t>
  </si>
  <si>
    <t>Modality in the supercooling points of cold tolerant but freezing intolerant terrestrial arthropods has proved a pragmatically reliable means of distinguishing between summer and winter cold hardiness in such species. This paper proposes an ecologically realistic method of modal analysis which may either be used in lieu of the traditional separation of supercooling points into high and low groups, or as a complementary assessment of the risk of freezing mortality. Instead of a posteriori determinations of modal break points, animal supercooling points are assigned a priori to one of four categories of cold hardiness: (1) summer cold-hardy; (2) semi-cold-hardy; (3) cold-hardy; and (4) winter cold-hardy. Each category is identified by the temperature range within which arthropods can be expected to freeze. The temperature ranges assigned to each category are based on a conservative, but realistic, assessment of the temperatures at which animals can be expected to freeze at a given point in the season. The approach has greater discriminatory power than traditional bimodal descriptors (i.e.summer and winter cold-hardy), as well as allowing animal supercooling points to be related to the temperatures they actually experience in their habitats. Thus, for example, animals considered summer cold-hardy according to conventional analysis may actually be semi-cold-bardy with supercooling points well within the safety margin of minimum ambient temperatures.</t>
  </si>
  <si>
    <t>Univ Birmingham, Dept Biosci, Birmingham B15 2TT, W Midlands, England; British Antarctic Survey, Cambridge CB3 0ET, England</t>
  </si>
  <si>
    <t>University of Birmingham; UK Research &amp; Innovation (UKRI); Natural Environment Research Council (NERC); NERC British Antarctic Survey</t>
  </si>
  <si>
    <t>Convey, Peter/0000-0001-8497-9903</t>
  </si>
  <si>
    <t>CZECH ACAD SCI, INST ENTOMOLOGY</t>
  </si>
  <si>
    <t>CESKE BUDEJOVICE</t>
  </si>
  <si>
    <t>BRANISOVSKA 31, CESKE BUDEJOVICE 370 05, CZECH REPUBLIC</t>
  </si>
  <si>
    <t>1802-8829</t>
  </si>
  <si>
    <t>EUR J ENTOMOL</t>
  </si>
  <si>
    <t>Eur. J. Entomol.</t>
  </si>
  <si>
    <t>OCT 2</t>
  </si>
  <si>
    <t>10.14411/eje.2006.095</t>
  </si>
  <si>
    <t>Entomology</t>
  </si>
  <si>
    <t>097QV</t>
  </si>
  <si>
    <t>WOS:000241464100001</t>
  </si>
  <si>
    <t>Barabasz, AF</t>
  </si>
  <si>
    <t>Whither spontaneous hypnosis: A critical issue for practitioners and researchers</t>
  </si>
  <si>
    <t>AMERICAN JOURNAL OF CLINICAL HYPNOSIS</t>
  </si>
  <si>
    <t>spontaneous hypnosis; hypnotic trance; hypnosis definition</t>
  </si>
  <si>
    <t>EVENT-RELATED POTENTIALS; SKIN-CONDUCTANCE; IMAGINATIVE INVOLVEMENT; ANTARCTIC ISOLATION; EEG-ALPHA; HYPNOTIZABILITY; PAIN; DISTRACTION</t>
  </si>
  <si>
    <t>The critical aspects of recognizing that hypnotic responses are part of everyday life for those who are hypnotizable are considered. The failure of the American Psychological Association (APA) definition to include spontaneous hypnosis is discussed along with the resultant implications for misinforming clinicians, researchers and the public.</t>
  </si>
  <si>
    <t>Washington State Univ, Pullman, WA 99164 USA</t>
  </si>
  <si>
    <t>Washington State University</t>
  </si>
  <si>
    <t>Barabasz, AF (corresponding author), Washington State Univ, POB 642136, Pullman, WA 99164 USA.</t>
  </si>
  <si>
    <t>arreed_barabasz@wsu.edu</t>
  </si>
  <si>
    <t>0002-9157</t>
  </si>
  <si>
    <t>2160-0562</t>
  </si>
  <si>
    <t>AM J CLIN HYPN</t>
  </si>
  <si>
    <t>Am. J. Clin. Hypn.</t>
  </si>
  <si>
    <t>OCT-JAN</t>
  </si>
  <si>
    <t>Psychology, Clinical</t>
  </si>
  <si>
    <t>Psychology</t>
  </si>
  <si>
    <t>004UL</t>
  </si>
  <si>
    <t>WOS:000234777700004</t>
  </si>
  <si>
    <t>Dolan, B</t>
  </si>
  <si>
    <t>Dolan, B.</t>
  </si>
  <si>
    <t>Antarctic challenges: Historical and current perspectives on Otto Nordenskjolds Antarctic expedition 1901-1903</t>
  </si>
  <si>
    <t>ANNALS OF SCIENCE</t>
  </si>
  <si>
    <t>Univ Calif San Francisco, San Francisco, CA 94143 USA</t>
  </si>
  <si>
    <t>University of California System; University of California San Francisco</t>
  </si>
  <si>
    <t>Dolan, B (corresponding author), Univ Calif San Francisco, 3333 Calif St,Suite 485, San Francisco, CA 94143 USA.</t>
  </si>
  <si>
    <t>Dolan, Brian/0000-0002-7935-8915</t>
  </si>
  <si>
    <t>0003-3790</t>
  </si>
  <si>
    <t>ANN SCI</t>
  </si>
  <si>
    <t>Ann. Sci.</t>
  </si>
  <si>
    <t>OCT</t>
  </si>
  <si>
    <t>History &amp; Philosophy Of Science</t>
  </si>
  <si>
    <t>History &amp; Philosophy of Science</t>
  </si>
  <si>
    <t>092MH</t>
  </si>
  <si>
    <t>WOS:000241100500013</t>
  </si>
  <si>
    <t>Castellano, I; Di Maro, A; Ruocco, MR; Chambery, A; Parente, A; Di Martino, MT; Parlato, G; Masullo, M; De Vendittis, E</t>
  </si>
  <si>
    <t>Castellano, I.; Di Maro, A.; Ruocco, M. R.; Chambery, A.; Parente, A.; Di Martino, M. T.; Parlato, G.; Masullo, M.; De Vendittis, E.</t>
  </si>
  <si>
    <t>Psychrophilic superoxide dismutase from Pseudoalteromonas haloplanktis:: biochemical characterization and identification of a highly reactive cysteine residue</t>
  </si>
  <si>
    <t>BIOCHIMIE</t>
  </si>
  <si>
    <t>superoxide dismutase; Pseudoalteromonas haloplanktis; psychrophilic enzyme; sulfhydryl reactivity; covalent modification</t>
  </si>
  <si>
    <t>ARCHAEON SULFOLOBUS-SOLFATARICUS; AMINO-ACID-SEQUENCE; ESCHERICHIA-COLI; SWISS-MODEL; CRYSTAL-STRUCTURE; ELONGATION-FACTOR; TYROSINE 34; MANGANESE; PROTEIN; NITRATION</t>
  </si>
  <si>
    <t>A psychrophilic superoxide dismutase (SOD) has been characterized from the Antarctic eubacterium Pseudoalteromonas haloplanktis (Ph). PhSOD is a homodimeric iron-containing enzyme and displays a high specific activity, even at low temperature. The enzyme is inhibited by sodium azide and inactivated by hydrogen peroxide; it is also very sensitive to peroxynitrite, a physiological inactivator of the human mitochondrial Mn-SOD. Even though PhSOD is isolated from a cold-adapted micro-organism, its heat stability is well above the maximum growth temperature of P. haloplanktis, a feature common to other Fe- and Mn-SODs. The primary structure of PhSOD was determined by a combination of mass spectrometry and automated Edman degradation. The polypeptide chain is made of 192 amino acid residues, corresponding to a molecular mass of 21251 Da. The alignment with other Fe- and Mn-SODs showed a high amino acid identity with Fe-SOD from Vibrio cholerae (79%) and Escherichia coli (70%). A significant similarity is also shared with human mitochondrial Mn-SOD. PhSOD has the unique and highly reactive Cys57 residue, located in a variable region of the protein. The three-dimensional model of the PhSOD monomer indicates that Cys57 is included in a region, whose structural organization apparently discriminates between dimeric and tetrameric SODs. This residue forms a disulfide adduct with beta-mercaptoethanol, when this reducing agent is added in the purification procedure. The reactivity of Cys57 leads also to the formation of a disulfide bridge between two PhSOD subunits in specific denaturing conditions. The possible modification of Cys57 by physiological thiols, eventually regulating the PhSOD functioning, is discussed. (c) 2006 Elsevier Masson SAS. All rights reserved.</t>
  </si>
  <si>
    <t>Univ Naples Federico II, Dipartimento Biochim &amp; Biotecnol Med, I-80131 Naples, Italy; Univ Naples 2, Dipartimento Sci Vita, I-81100 Caserta, Italy; Univ Catanzaro Magna Graecia, Dipartimento Med Sperimentale &amp; Clin G Salvatore, I-88100 Catanzaro, Italy; Univ Catanzaro Magna Graecia, Dipartimento Sci Farmacobiol, I-88021 Roccelleta Borgia, CZ, Italy</t>
  </si>
  <si>
    <t>University of Naples Federico II; Universita della Campania Vanvitelli; Magna Graecia University of Catanzaro; Magna Graecia University of Catanzaro</t>
  </si>
  <si>
    <t>De Vendittis, E (corresponding author), Univ Naples Federico II, Dipartimento Biochim &amp; Biotecnol Med, Via S Pansini 5, I-80131 Naples, Italy.</t>
  </si>
  <si>
    <t>devendittis@dbbm.unina.it</t>
  </si>
  <si>
    <t>Castellano, Immacolata/AAD-5523-2019; Di Maro, Antimo/AEM-8941-2022; Masullo, Mariorosario/H-4884-2016</t>
  </si>
  <si>
    <t>Di Maro, Antimo/0000-0002-9595-9665; Chambery, Angela/0000-0002-5136-0941; Castellano, Immacolata/0000-0002-4274-6738; Masullo, Mariorosario/0000-0003-4485-7383; DI MARTINO, Maria Teresa/0000-0002-8205-2706</t>
  </si>
  <si>
    <t>ISSY-LES-MOULINEAUX</t>
  </si>
  <si>
    <t>65 RUE CAMILLE DESMOULINS, CS50083, 92442 ISSY-LES-MOULINEAUX, FRANCE</t>
  </si>
  <si>
    <t>0300-9084</t>
  </si>
  <si>
    <t>1638-6183</t>
  </si>
  <si>
    <t>Biochimie</t>
  </si>
  <si>
    <t>10.1016/j.biochi.2006.04.005</t>
  </si>
  <si>
    <t>111NS</t>
  </si>
  <si>
    <t>WOS:000242460000007</t>
  </si>
  <si>
    <t>Cohen, JH; Frank, TM</t>
  </si>
  <si>
    <t>Cohen, Jonathan H.; Frank, Tamara M.</t>
  </si>
  <si>
    <t>Visual physiology of the Antarctic amphipod Abyssorchomene plebs</t>
  </si>
  <si>
    <t>BIOLOGICAL BULLETIN</t>
  </si>
  <si>
    <t>DEEP-SEA CRUSTACEANS; LIGHT ADAPTATION; SPECTRAL SENSITIVITIES; MCMURDO SOUND; MESOPELAGIC CRUSTACEANS; TEMPORAL RESOLUTION; SENSITIZING PIGMENT; FISH CYPRINIDAE; S-POTENTIALS; PHOTORECEPTORS</t>
  </si>
  <si>
    <t>Although the visual systems of animals living in the cold, dark water of the deep sea have been investigated for some time, little is known about vision in animals inhabiting polar oceans, where temperatures are even colder and irradiance fluctuates dramatically with ice cover and season. Physiology of the compound eye of the amphipod Abyssorchomene plebs (Gammaridea: Lysianassoidea), a common Antarctic benthic scavenger, was studied electrophysiologically by electroretinography. A. plebs has a monochromatic visual system with a spectral sensitivity maximum at 487 nm, and higher sensitivity at ultraviolet wavelengths than predicted by a visual pigment template. While irradiance sensitivity determined from V/log I curves is comparable to that of mesopelagic crustaceans, temporal resolution calculated from response waveform dynamics and as determined by critical flicker fusion frequency suggest that the A. plebs eye is slower than that of crustaceans from the deep sea. A. plebs photoreceptors are physiologically adapted for a slow lifestyle in a low-light environment, where maximizing photon capture occurs at the expense of detecting fast events in the visual scene.</t>
  </si>
  <si>
    <t>Harbor Branch Oceanog Inst Inc, Div Marine Sci, Dept Visual Ecol, Ft Pierce, FL 34946 USA</t>
  </si>
  <si>
    <t>Harbor Branch Oceanographic Institute Foundation</t>
  </si>
  <si>
    <t>Cohen, JH (corresponding author), Harbor Branch Oceanog Inst Inc, Div Marine Sci, Dept Visual Ecol, 5600 US 1 North, Ft Pierce, FL 34946 USA.</t>
  </si>
  <si>
    <t>jcohen@hboi.edu</t>
  </si>
  <si>
    <t>Frank, Tamara/W-8662-2019; Cohen, Jonathan/GPX-2435-2022</t>
  </si>
  <si>
    <t>MARINE BIOLOGICAL LABORATORY</t>
  </si>
  <si>
    <t>WOODS HOLE</t>
  </si>
  <si>
    <t>7 MBL ST, WOODS HOLE, MA 02543 USA</t>
  </si>
  <si>
    <t>0006-3185</t>
  </si>
  <si>
    <t>BIOL BULL-US</t>
  </si>
  <si>
    <t>Biol. Bull.</t>
  </si>
  <si>
    <t>10.2307/4134588</t>
  </si>
  <si>
    <t>Biology; Marine &amp; Freshwater Biology</t>
  </si>
  <si>
    <t>Life Sciences &amp; Biomedicine - Other Topics; Marine &amp; Freshwater Biology</t>
  </si>
  <si>
    <t>102EL</t>
  </si>
  <si>
    <t>WOS:000241793700005</t>
  </si>
  <si>
    <t>Robertson, G; McNeill, M; Smith, N; Wienecke, B; Candy, S; Olivier, F</t>
  </si>
  <si>
    <t>Robertson, Graham; McNeill, Malcolm; Smith, Neville; Wienecke, Barbara; Candy, Steven; Olivier, Frederique</t>
  </si>
  <si>
    <t>Fast sinking (integrated weight) longlines reduce mortality of white-chinned petrels (Procellaria aequinoctialis) and sooty shearwaters (Puffinus griseus) in demersal longline fisheries</t>
  </si>
  <si>
    <t>BIOLOGICAL CONSERVATION</t>
  </si>
  <si>
    <t>longline fishing; integrated weight longlines; longline sink rates; seabird mortality reduction; fish by-catch; co-operative research</t>
  </si>
  <si>
    <t>LINEAR MIXED MODELS; SEABIRD BY-CATCH; DIVING DEPTHS; ISLANDS</t>
  </si>
  <si>
    <t>Longline fisheries have been responsible for the deaths of large numbers of seabirds worldwide. TWO of the most difficult seabird species to deter from baited hooks are the white-chinned petrel (Procellaria aequinoctialis) and sooty shearwater (Puffinus griseus). Longlines with integrated weight (IW) sink faster than normal, unweighted (UW), longlines and have the potential to reduce the numbers of these species killed. The relative differences in the number of white-chinned petrels and sooty shearwaters killed on UW longlines and IW longlines containing 50 g/m beaded lead core were investigated in 2002 and 2003 in the New Zealand ling (Genypterus blacodes) autoline fishery. Effects on catch rates of target and non-target fish species, and operational aspects of the use of IW gear, were also assessed. A single bird scaring streamer line was deployed on all sets of longlines. In 2002 and 2003, compared to UW lines IW lines reduced mortality of white-chinned petrels by 98.7% and 93.5%, respectively. in 2003 IW lines reduced sooty shearwater mortality by 60.5%. Catch rates of white-chinned petrels (including on sets when no fatalities were recorded) by IW gear were low: 0.005/1000 hooks (UW: 0.4) and 0.01/1000 hooks (UW. 0.17) in 2002 and 2003, respectively. Equivalent rates for sooty shear-waters in 2003 were 0.06/1000 hooks by IW and 0.13/1000 hooks by UW. No albatrosses were caught on either line type in 2002; in 2003 a single Salvin's albatross (Thalassarche salvini) was caught on UW gear. Both the number of ling and the mean masses of ling caught in 2003 by IW (mass: 189.3; CL(95%) 162.7-220.3 kg/1000 hooks) and UW (200.6; CL(95%) 178.2-22S.9 kg/1000 hooks) longlines were similar statistically. Use of IW longlines and streamer lines in autoline fisheries should yield major conservation benefits to seabirds interacting with these fisheries worldwide. (c) 2006 Elsevier Ltd. All rights reserved.</t>
  </si>
  <si>
    <t>Australian Antarctic Div, Kingston, Tas 7050, Australia; Sealord Grp, Nelson, New Zealand; Minist Fisheries, Wellington, New Zealand</t>
  </si>
  <si>
    <t>0006-3207</t>
  </si>
  <si>
    <t>BIOL CONSERV</t>
  </si>
  <si>
    <t>Biol. Conserv.</t>
  </si>
  <si>
    <t>10.1016/j.biocon.2006.05.003</t>
  </si>
  <si>
    <t>096AH</t>
  </si>
  <si>
    <t>WOS:000241348900005</t>
  </si>
  <si>
    <t>Marriott, RJ; Mapstone, BD</t>
  </si>
  <si>
    <t>Marriott, Ross J.; Mapstone, Bruce D.</t>
  </si>
  <si>
    <t>Consequences of inappropriate criteria for accepting age estimates from otoliths, with a case study for a long-lived tropical reef fish</t>
  </si>
  <si>
    <t>CANADIAN JOURNAL OF FISHERIES AND AQUATIC SCIENCES</t>
  </si>
  <si>
    <t>QUALITY-CONTROL; GROWTH-RATE; VALIDATION; PRECISION; POPULATIONS; MORTALITY; ACCURACY; TARPON; ZONES; SIZE</t>
  </si>
  <si>
    <t>Fish ages estimated from increments in otoliths are uncertain because of various sources of error, including increment interpretation. Interpretation error is often addressed by reading each otolith multiple times and accepting age estimates only if readings satisfy certain consistency criteria. Choice of an inappropriate acceptance criterion may significantly bias the accepted age estimates and derived parameters such as mortality. The frequencies and magnitudes of discrepancies from replicate readings of otoliths increased with age for the red bass, Lutjanus bohar. The trend was best described by a constant probability of misinterpreting each increment, indicating an age acceptance criterion that allowed for increasing discrepancy between readings with age. Simulations of three error processes in reading otoliths, two processes of error accumulation within readings, and six acceptance criteria illustrated the biases in age-based metrics that arise from choosing inappropriate acceptance criteria. Biases were largest for static constant, rather than proportional, acceptance criteria, leading to elevated exclusion of older otoliths, overestimation of mortality, and underestimation of mean age. von Bertalanffy growth parameters were generally estimated with little bias. We recommend formal analysis of alternative models of ageing error to choose appropriate acceptance criteria and minimise biases in age-based demographic metrics.</t>
  </si>
  <si>
    <t>James Cook Univ N Queensland, Sch Marine Biol &amp; Aquaculture, Townsville, Qld 4811, Australia; CRC, Antarctic Climate &amp; Ecosyst, Hobart, Tas 7001, Australia</t>
  </si>
  <si>
    <t>Marriott, RJ (corresponding author), Western Australian Fisheries &amp; Marine Res Labs, POB 20, North Beach, WA 6920, Australia.</t>
  </si>
  <si>
    <t>rmarriott@fish.wa.gov.au</t>
  </si>
  <si>
    <t>Marriott, Ross/Y-4991-2019</t>
  </si>
  <si>
    <t>Marriott, Ross/0000-0002-8805-8498</t>
  </si>
  <si>
    <t>0706-652X</t>
  </si>
  <si>
    <t>1205-7533</t>
  </si>
  <si>
    <t>CAN J FISH AQUAT SCI</t>
  </si>
  <si>
    <t>Can. J. Fish. Aquat. Sci.</t>
  </si>
  <si>
    <t>10.1139/F06-109</t>
  </si>
  <si>
    <t>099HX</t>
  </si>
  <si>
    <t>WOS:000241585400012</t>
  </si>
  <si>
    <t>Scouller, RC; Snape, I; Stark, JS; Gore, DB</t>
  </si>
  <si>
    <t>Scouller, Rebecca C.; Snape, Ian; Stark, Jonathan S.; Gore, Damian B.</t>
  </si>
  <si>
    <t>Evaluation of geochemical methods for discrimination of metal contamination in Antarctic marine sediments: A case study from Casey Station</t>
  </si>
  <si>
    <t>hydrochloric extraction; &lt; 2 mm fraction; &lt; 63 mu m fraction; metal pollution; Antarctica; human impacts</t>
  </si>
  <si>
    <t>TERRA-NOVA BAY; ACID-VOLATILE SULFIDE; HEAVY-METALS; TRACE-METALS; COASTAL SEDIMENTS; AQUATIC SEDIMENTS; SURFICIAL SEDIMENTS; HUMAN IMPACTS; ROSS SEA; ASSEMBLAGES</t>
  </si>
  <si>
    <t>Detecting anthropogenic metal contamination in regional surveys can be particularly difficult when there is a lack of pre-disturbance data, especially when trying to differentiate low to moderate levels of contamination from background values. Furthermore, comparisons with other regional studies are confounded by differing analytical methods used and variations in sediment properties such as grainsize. Several types of geochemical technique, including weak acid partial extraction, strong acid extractions and total digestion have been used. Attempts have been made to overcome the influence that grainsize has on chemical concentrations in heterogeneous environments by analysing the fines, typically the mud fraction (&lt; 63 mu m), in an attempt to improve the detection of anthropogenic contamination. Here we compare a weak acid partial extraction using I M HCl and total digestion methods for a regional survey of reference and impacted sites in Antarctica using both whole sediment (&lt; 2 mm) and mud (&lt; 63 mu m) fractions. The 1 M partial extraction on whole sediment (&lt; 2 mm) most closely distinguished weakly, or moderately, impacted sites from reference locations. It also identified small scale within-location spatial variation in metal contamination that the total digest did not detect. Compared with total digests or analysis of the &lt; 63 mu m fraction alone, this method minimised the possibility of a Type II statistical error in the regional survey - that is, failing to identify a site as being contaminated when it has elevated metal concentrations. To allow inter-regional comparison of sediment chemistry data from elsewhere in Antarctica, and also more generally, we recommend a 1 M HCl partial extraction on whole sediment (&lt; 2 mm). Crown Copyright (c) 2006 Published by Elsevier Ltd. All rights reserved.</t>
  </si>
  <si>
    <t>Australian Antarctic Div, Dept Environm &amp; Heritage, Kingston, Tas 7050, Australia</t>
  </si>
  <si>
    <t>Snape, I (corresponding author), Australian Antarctic Div, Dept Environm &amp; Heritage, 203 Channel Highway, Kingston, Tas 7050, Australia.</t>
  </si>
  <si>
    <t>ian.snape@aad.gov.au</t>
  </si>
  <si>
    <t>Stark, Jonathan/0000-0002-4268-8072; Gore, Damian/0000-0002-0377-8518</t>
  </si>
  <si>
    <t>10.1016/j.chemosphere.2006.02.062</t>
  </si>
  <si>
    <t>092ZC</t>
  </si>
  <si>
    <t>WOS:000241135600014</t>
  </si>
  <si>
    <t>Larner, BL; Seen, AJ; Snape, I</t>
  </si>
  <si>
    <t>Larner, Bronwyn L.; Seen, Andrew J.; Snape, Ian</t>
  </si>
  <si>
    <t>Evaluation of diffusive gradients. in thin film (DGT) samplers for measuring contaminants in the Antarctic marine environment</t>
  </si>
  <si>
    <t>Brown Bay; passive samplers; metal contaminants; porewater</t>
  </si>
  <si>
    <t>SOFT-SEDIMENT ASSEMBLAGES; IN-SITU MEASUREMENT; FIELD ICP-MS; CASEY STATION; METAL CONCENTRATIONS; FUEL SPILLS; SPECIATION; WATERS; SOILS; COPPER</t>
  </si>
  <si>
    <t>This work has been the first application of DGT samplers for measuring metals in water and sediment porewater in the Antarctic environment, and whilst DGT water sampling was restricted to quantification of Cd, Fe and Ni, preconcentration using Empore chelating disks provided results for an additional nine elements (Sn, Pb, Al, Cr, Mn, Co, Cu, Zn, As). Although higher concentrations were measured for some metals (Cd, Ni, Pb) using the Empore technique, most likely due to particulate-bound or colloidal species becoming entrapped in the Empore chelating disks, heavy metal concentrations in the impacted Brown Bay were found to be comparable with the non-impacted O'Brien Bay. Sediment porewater sampling using DGT also indicated little difference between Brown Bay and O'Brien Bay for many metals (Cd, Al, Cr, Co, Ni, Cu), however, greater amounts of Pb, Mn, Fe and As were accumulated in DGT probes deployed in Brown Bay compared with O'Brien Bay, and a higher accumulation of Sn was observed in Brown Bay inner than any of the other three sites sampled. Comparison of DGT derived porewater concentrations with actual porewater concentrations showed limited resupply of Cd, Pb, Al, Cr, Mn, Co, Ni, Cu, Zn and As from the solid phase to porewater, with these metals appearing to be strongly bound to the sediment, however, resupply of Fe and Sn was apparent. Based upon our observations here, we suggest that Sri, and to a lesser extent Pb, are critical contaminants. Crown Copyright (c) 2006 Published by Elsevier Ltd. All rights reserved.</t>
  </si>
  <si>
    <t>Univ Tasmania, Sch Chem, Launceston, Tas 7250, Australia; Australian Antarctic Div, Kingston, Tas 7050, Australia</t>
  </si>
  <si>
    <t>University of Tasmania; Australian Antarctic Division</t>
  </si>
  <si>
    <t>Seen, AJ (corresponding author), Univ Tasmania, Sch Chem, Locked Bag 1371, Launceston, Tas 7250, Australia.</t>
  </si>
  <si>
    <t>a.j.seen@utas.edu.au</t>
  </si>
  <si>
    <t>Seen, Andrew/0000-0001-7788-579X</t>
  </si>
  <si>
    <t>10.1016/j.chemosphere.2006.03.028</t>
  </si>
  <si>
    <t>109SY</t>
  </si>
  <si>
    <t>WOS:000242330200008</t>
  </si>
  <si>
    <t>Romani, R; Corsi, I; Bonacci, S; Focardi, S; De Medio, GE; De Santis, A; Incarnato, F; Giovannini, E; Rosi, G</t>
  </si>
  <si>
    <t>Romani, Rita; Corsi, Ilaria; Bonacci, Stefano; Focardi, SilVano; De Medio, G. Evelina; De Santis, Alessandra; Incarnato, Francesca; Giovannini, Elvio; Rosi, Gabriella</t>
  </si>
  <si>
    <t>Organophosphate-resistant forms of acetylcholinesterases in two scallops -: the Antarctic Adamussium colbecki and the Mediterranean Pecten jacobaeus</t>
  </si>
  <si>
    <t>COMPARATIVE BIOCHEMISTRY AND PHYSIOLOGY B-BIOCHEMISTRY &amp; MOLECULAR BIOLOGY</t>
  </si>
  <si>
    <t>acetylcholinesterase; Adamussium colbecki; azamethiphos; diisopropylfluorophosphate; membrane lipids; molecular forms; organophosphate resistance; Pecten jacobaeus; polymorphisms</t>
  </si>
  <si>
    <t>PHOSPHATIDYLINOSITOL PHOSPHOLIPASE-C; MOLLUSK SCAPHARCA-INAEQUIVALVIS; ENCODING ACETYLCHOLINESTERASE; BIOCHEMICAL-CHARACTERIZATION; HISTOCHEMICAL-LOCALIZATION; SUBSTRATE-SPECIFICITY; CATALYTIC EFFICIENCY; MOLECULAR-FORMS; IN-VITRO; SEA</t>
  </si>
  <si>
    <t>We describe the acetylcholinesterase polymorphisms of two bivalve molluscs, Adamussium colbecki and Pecten jacobaeus. The research was aimed to point out differences in the expression of pesticide-resistant acetylcholinesterase forms in organisms living in different ecosystems such as the Ross Sea (Antarctica) and the Mediterranean Sea. In A. colbecki, distinct acetyleholinesterase molecular forms were purified and characterized from spontaneously soluble, low-salt-soluble and low-salt-Triton extracts from adductor muscle and gills. They consist of two non-amphiphilic acetylcholinesterases (G(2), G(4)) and an amphiphilic-phosphatidylinositol-membrane-anchored form (G(2)); a further amphiphilic-low-salt-soluble G(2) acetylcholinesterase was found only in adductor muscle. In the corresponding tissues of P. jacobaeus, we found a non-amphiphilic G(4) and an amphiphilic G(2) acetylcholinesterase; amphiphilic-low-salt-soluble acetylcholinesterases (G(2)) are completely lacking. Such results are related with differences in cell membrane lipid compositions. In both scallops, all non-amphiphilic AChEs are resistant to used pesticides. Differently, the adductor muscle amphiphilic forms are resistant to carbamate eserine and organophosphate diisopropylfluorophosphate, but sensitive to organophoshate azamethiphos. In the gills of R jacobaeus, amphiphilic G(2) forms are sensitive to all three pesticides, while the corresponding forms of A. colbecki are sensitive to eserine and diisopropylfluorophosphate, but resistant to azamethiphos. Results indicate that organophosphate and/or carbamate resistant AChE forms are present in species living in far different and far away environments. The possibility that these AChE forms could have ensued from a common origin and have been spread globally by migration is discussed. (c) 2006 Elsevier Inc. All rights reserved.</t>
  </si>
  <si>
    <t>Univ Perugia, Div Cellular &amp; Mol Biol, Dept Expt Med, I-06122 Perugia, Italy; Univ Siena, Dept Environm Sci G Sarfatti, I-53100 Siena, Italy; Univ Perugia, Div Biochem, Dept Internal Med, I-06122 Perugia, Italy</t>
  </si>
  <si>
    <t>University of Perugia; University of Siena; University of Perugia</t>
  </si>
  <si>
    <t>Rosi, G (corresponding author), Univ Perugia, Div Cellular &amp; Mol Biol, Dept Expt Med, Via Giochetto, I-06122 Perugia, Italy.</t>
  </si>
  <si>
    <t>grosi@unipg.it</t>
  </si>
  <si>
    <t>Corsi, Ilaria/D-3795-2012; Romani, Rita/J-7699-2016; Bonacci, Stefano/ABI-5676-2020</t>
  </si>
  <si>
    <t>Corsi, Ilaria/0000-0002-1811-3041; ROMANI, Rita/0000-0003-2612-9796</t>
  </si>
  <si>
    <t>1096-4959</t>
  </si>
  <si>
    <t>COMP BIOCHEM PHYS B</t>
  </si>
  <si>
    <t>Comp. Biochem. Physiol. B-Biochem. Mol. Biol.</t>
  </si>
  <si>
    <t>10.1016/j.cbpb.2006.07.005</t>
  </si>
  <si>
    <t>Biochemistry &amp; Molecular Biology; Zoology</t>
  </si>
  <si>
    <t>095GT</t>
  </si>
  <si>
    <t>WOS:000241296900008</t>
  </si>
  <si>
    <t>Wanwimolruk, S; Wanwimolruk, P</t>
  </si>
  <si>
    <t>Wanwimolruk, Sompon; Wanwimolruk, Preeya</t>
  </si>
  <si>
    <t>Characterization of CYP1A enzyme in Adelie penguin liver</t>
  </si>
  <si>
    <t>COMPARATIVE BIOCHEMISTRY AND PHYSIOLOGY C-TOXICOLOGY &amp; PHARMACOLOGY</t>
  </si>
  <si>
    <t>Adelie penguin; Antarctica; CYP1A; P450; drug metabolism; liver microsomes; environment; Pygoscelis adeliae</t>
  </si>
  <si>
    <t>POLYCHLORINATED-BIPHENYLS PCBS; CHLORINATED HYDROCARBONS; CATHARACTA-MACCORMICKI; POLAR BEAR; RAT-LIVER; CYTOCHROME-P450; METABOLISM; DRUG; INDUCTION; P450</t>
  </si>
  <si>
    <t>As CYP1A enzymes are induced by certain contaminants, their induction pattern has been used as a biomarker for exposure of certain pollutants. Ethoxyresorufin O-deethylase (EROD) activities are widely used in environmental assessments of polychlorinated biphenyls in many wildlife species. The EROD activity, a typical probe for CYP1A enzyme was studied in liver microsomes prepared from Adelie penguins (Pygoscelis adeliae) (n = 10). Penguin liver microsomes (0.5 mg/mL) were incubated with the substrate ethoxyresorufin and NADPH at 37 degrees C for 10 min, and the reaction was terminated by addition of methanol. The formation of the metabolite resorurfin was assayed by an HPLC method. EROD activity was present in all liver samples studied. Penguin liver microsomal fraction exhibits typical Michaelis-Menten kinetics in the O-deethylation of ethoxyresorufin. The data were best described by a biphasic kinetic model, which could be interpreted in terms of two populations of CYP enzyme. Mean (S.D.) K-m values for highand low-affinity components of EROD were 51 109 (range: 0.16 to 3 58) and 872 703 (range: 303 to 2450) nM, respectively The corresponding mean V-max values for the high- and low-affinity enzyme activities were 1.8 +/- 1.4 (range: 0.21 to 5.1) and 9.6 +/- 3.7 (range: 6.0 to 18.3) pmol/min/mg. The EROD activity in penguin liver microsomes was inhibited by CYP1A inhibitors (phenacetin, 7-ethoxycoumarin and proportional to-naphthoflavone), whereas other CYP inhibitors for CYP2C9 (tolbutamide), 2C19 (mephenytoin), 2D6 (debrisoquin) and 2E1 (diethyldithiocarbamate) had no effect. These results suggest that CYP I A-like enzymes are present in penguin livers. The activity of this enzyme may be a useful biomarker for assessing the environmental impact of pollutants on Antarctic wildlife. (c) 2006 Elsevier Inc. All rights reserved.</t>
  </si>
  <si>
    <t>Loma Linda Univ, Sch Pharm, Loma Linda, CA 92350 USA</t>
  </si>
  <si>
    <t>Loma Linda University</t>
  </si>
  <si>
    <t>Wanwimolruk, S (corresponding author), Loma Linda Univ, Sch Pharm, Loma Linda, CA 92350 USA.</t>
  </si>
  <si>
    <t>swanwimolruk@llu.edu</t>
  </si>
  <si>
    <t>Wanwimolruk, Sompon/AAI-9168-2020</t>
  </si>
  <si>
    <t>1532-0456</t>
  </si>
  <si>
    <t>COMP BIOCHEM PHYS C</t>
  </si>
  <si>
    <t>Comp. Biochem. Physiol. C-Toxicol. Pharmacol.</t>
  </si>
  <si>
    <t>10.1016/j.cbpc.2006.07.010</t>
  </si>
  <si>
    <t>Biochemistry &amp; Molecular Biology; Endocrinology &amp; Metabolism; Toxicology; Zoology</t>
  </si>
  <si>
    <t>112II</t>
  </si>
  <si>
    <t>WOS:000242518800005</t>
  </si>
  <si>
    <t>Rudra, P; Bardhan, S</t>
  </si>
  <si>
    <t>Rudra, Purbasha; Bardhan, Subhendu</t>
  </si>
  <si>
    <t>Status of Trigonia ventricosa (Bivalvia) from the Upper Jurassic Lower Cretaceous of Kutch, western India:: Kitchin's unfinished synthesis</t>
  </si>
  <si>
    <t>Pisotrigonia ventricosa; Late Jurassic; Early Cretaceous; Kutch; evolution</t>
  </si>
  <si>
    <t>ANTARCTIC PENINSULA; EVOLUTION; PALEOBIOGEOGRAPHY; SYSTEMATICS; BOUNDARY; KACHCHH; EUROPE; MEMBER</t>
  </si>
  <si>
    <t>Kitchin first reported Trigonia ventricosa (Krauss) from Kutch in 1903. The populations he studied came from different localities and stratigraphic horizons. but erroneous information on Kutch geology initially led him to believe that all his material was obtained only from Late Tithonian strata. He noted, however, that populations of different areas had distinct morphological characters and biofacies associations and later expressed uncertainties about the homogeneity of the Kutch species. Trigonia ventricosa was later included in Pisotrigonia van Hoepen (subfamily Pterotrigoniinae). Our field investigation and study of numerous specimens collected from different localities as well as the material examined by previous workers (Kitchin and Cox) reveal that populations of T. ventricosa are, in fact, found at four distinct stratigraphic levels ranging from Late Tithonian to Aptian in age; they differ both morphologically and morphometrically, allowing the recognition of four distinct species, some of which are temporally separated by as much as seven million years. The species, in ascending stratigraphical order, are Pisotrigonia kitchini sp. nov., P. umiensis sp. nov., P. ventricosa (Krauss) and P. ghuneriensis sp. nov. The Pterotrigoniinae are apparently polyphyletic since Pterotrigonia has myophorellian ancestry while Pisotrigonia has megatrigoman affinities; they are stratigraphically heterochronous and evolved initially in two different palaeobiogeographic provinces. During the Valanginian, Pterotrigonia and Pisotrigonia shared the same biogeographic area and showed character displacement. Pisotrigonia species in Kutch evolved anagenetically with initial increase in body size followed finally by size decrease. The mode of evolution is punctuational and was induced by heterochrony. (c) 2006 Elsevier Ltd. All rights reserved.</t>
  </si>
  <si>
    <t>Jadavpur Univ, Dept Geol Sci, Kolkata 700032, W Bengal, India</t>
  </si>
  <si>
    <t>Jadavpur University</t>
  </si>
  <si>
    <t>Rudra, P (corresponding author), Jadavpur Univ, Dept Geol Sci, Kolkata 700032, W Bengal, India.</t>
  </si>
  <si>
    <t>purbashar@hotmail.com</t>
  </si>
  <si>
    <t>1095-998X</t>
  </si>
  <si>
    <t>10.1016/j.cretres.2005.09.002</t>
  </si>
  <si>
    <t>095AX</t>
  </si>
  <si>
    <t>WOS:000241281700002</t>
  </si>
  <si>
    <t>Scotter, AJ; Marshall, CB; Graham, LA; Gilbert, JA; Garnham, CP; Davies, PL</t>
  </si>
  <si>
    <t>Scotter, Andrew J.; Marshall, Christopher B.; Graham, Laurie A.; Gilbert, Jack A.; Garnham, Christopher P.; Davies, Peter L.</t>
  </si>
  <si>
    <t>The basis for hyperactivity of antifreeze proteins</t>
  </si>
  <si>
    <t>CRYOBIOLOGY</t>
  </si>
  <si>
    <t>antifreeze protein; ice crystals; thermal hysteresis; hyperactivity; insects; fish; bacteria</t>
  </si>
  <si>
    <t>THERMAL HYSTERESIS; ICE-BINDING; TENEBRIO-MOLITOR; SPRUCE BUDWORM; FREEZING RESISTANCE; MOLECULAR-WEIGHT; ANTARCTIC FISHES; WINTER FLOUNDER; PURIFICATION; INHIBITION</t>
  </si>
  <si>
    <t>Antifreeze proteins (AFPs) bind to the surface of ice crystals and lower the non-equilibrium freezing temperature of the icy solution below its melting point. We have recently reported the discovery of three novel hyperactive AFPs from a bacterium, a primitive insect and a fish, which, like two hyperactive AFPs previously recognized in beetles and moths, are considerably better at depressing the freezing point than most fish AFPs. When cooled below the non-equilibrium freezing temperature, ice crystals formed in the presence of any of five distinct, moderately active fish AFPs grow suddenly along the c-axis. Ice crystals formed in the presence of any of the five evolutionarily and structurally distinct hyperactive AFPs remain stable to lower temperatures, and then grow explosively in a direction normal to the c-axis when cooled below the freezing temperature. We argue that this one consistent distinction in the behaviour of these two classes of AFPs is the key to hyperactivity. Whereas both AFP classes bind irreversibly to ice, the hyperactive AFPs are better at preventing ice growth out of the basal planes. (c) 2006 Elsevier Inc. All rights reserved.</t>
  </si>
  <si>
    <t>Queens Univ, Dept Biochem, Kingston, ON K7L 3N6, Canada</t>
  </si>
  <si>
    <t>Queens University - Canada</t>
  </si>
  <si>
    <t>Davies, PL (corresponding author), Queens Univ, Dept Biochem, Kingston, ON K7L 3N6, Canada.</t>
  </si>
  <si>
    <t>daviesp@post.queensu.ca</t>
  </si>
  <si>
    <t>Gilbert, Jack/AAF-3270-2019; Marshall, Christopher/K-8943-2019</t>
  </si>
  <si>
    <t>Marshall, Christopher/0000-0002-7571-5700</t>
  </si>
  <si>
    <t>0011-2240</t>
  </si>
  <si>
    <t>1090-2392</t>
  </si>
  <si>
    <t>Cryobiology</t>
  </si>
  <si>
    <t>10.1016/j.cryobiol.2006.06.006</t>
  </si>
  <si>
    <t>093CQ</t>
  </si>
  <si>
    <t>WOS:000241145300008</t>
  </si>
  <si>
    <t>Sharma, NK; Rai, AK; Singh, S</t>
  </si>
  <si>
    <t>Sharma, Naveen K.; Rai, Ashwani K.; Singh, Surendra</t>
  </si>
  <si>
    <t>Meteorological factors affecting the diversity of airborne algae in an urban atmosphere</t>
  </si>
  <si>
    <t>ECOGRAPHY</t>
  </si>
  <si>
    <t>ANTARCTIC TERRESTRIAL ALGAE; LICHEN SOREDIA; DISPERSAL; AIR; PROTOZOA</t>
  </si>
  <si>
    <t>Aeroalgal sampling of Varanasi City, India, was done using a Tilak Rotorod sampler and exposing agarised Bold basal medium Petri plates during March 2003 to February 2005. Amongst the 34 airborne algal genera recorded, cyanobacteria dominated the aero-algal flora, followed by green algae and diatoms. The generic diversity of airborne algae as well as the constituting groups exhibited seasonal variation. The most favored period for the appearance of cyanobacteria in the air was summer, while winter favored green algae. Presence of diatoms was almost uniform throughout the year. The presence of algal particles in the air depended upon the abundance and dynamics of algal source and their release and dispersal in the atmosphere. Best model selection with Akaike information criteria indicated temperature, relative humidity, rainfall, wind velocity as the most important climatic factors determining algal diversity. These factors exert their effect both directly by influencing entrainment and dispersal of algae from the source, and indirectly by regulating the dynamics of the possible algal source (soil, water, plant body, wall and roof of the building) by supporting or inhibiting the algal growth. In a closed environment and at low altitude sampling site characteristic is also an important factor. Open area near to the countryside had maximal aero-algal diversity.</t>
  </si>
  <si>
    <t>Post Grad Coll, Dept Bot, Ghazipur 233002, Uttar Pradesh, India; Banaras Hindu Univ, Dept Bot, Varanasi 221005, Uttar Pradesh, India; Jiwaji Univ, Sch Studies Microbiol, Gwalior 474002, Madhya Pradesh, India</t>
  </si>
  <si>
    <t>Sharma, NK (corresponding author), Post Grad Coll, Dept Bot, Ghazipur 233002, Uttar Pradesh, India.</t>
  </si>
  <si>
    <t>0906-7590</t>
  </si>
  <si>
    <t>1600-0587</t>
  </si>
  <si>
    <t>Ecography</t>
  </si>
  <si>
    <t>098FT</t>
  </si>
  <si>
    <t>WOS:000241507100012</t>
  </si>
  <si>
    <t>Hawes, TC; Couldridge, CE; Bale, JS; Worland, MR; Convey, P</t>
  </si>
  <si>
    <t>Hawes, T. C.; Couldridge, C. E.; Bale, J. S.; Worland, M. R.; Convey, P.</t>
  </si>
  <si>
    <t>Habitat temperature and the temporal scaling of cold hardening in the high Arctic collembolan, Hypogastrura tullbergi (Schaffer)</t>
  </si>
  <si>
    <t>ECOLOGICAL ENTOMOLOGY</t>
  </si>
  <si>
    <t>acclimation; cold tolerance; Collembola; flexibility; physiological plasticity; rapid cold hardening</t>
  </si>
  <si>
    <t>SHOCK INJURY; TOLERANCE; LIFE; INVERTEBRATES; POPULATIONS; ARTHROPODS; INSECTS; ECOLOGY; DIPTERA</t>
  </si>
  <si>
    <t>1. Cold tolerance is a fundamental adaptation of insects to high latitudes. Flexibility in the cold hardening process, in turn, provides a useful indicator of the extent to which polar insects can respond to spatial and temporal variability in habitat temperature. 2. A scaling approach was adopted to investigate flexibility in the cold tolerance of the high Arctic collembolan, Hypogastrura tullbergi, over different time-scales. The cold hardiness of animals was compared from diurnal warming and cooling phases in the field, and controlled acclimation and cooling treatments in the laboratory. Plasticity in acclimation responses was examined using three parameters: low temperature survival, cold shock survival, and supercooling points (SCPs). 3. Over time-scales of 24-48 h, both field animals from warm diurnal phases and laboratory cultures from a 'warm' acclimation regime (18 degrees C) consistently showed greater or equivalent cold hardiness to animals from cool diurnal phases and acclimation regimes (3 degrees C). 4. No significant evidence was found of low temperature acclimation after either hours or days of low temperature exposure. The cold hardiness of H. tullbergi remained 'seasonal' in character and mortality throughout was indicative of the summer state of acclimatization. 5. These data suggest that H. tullbergi employs an 'all or nothing' cryoprotective strategy, cold hardening at seasonal but not diel-temporal scales. 6. It is hypothesised that rapid cold hardening offers little advantage to these high Arctic arthropods because sub-zero habitat temperatures during the summer on West Spitsbergen are rare and behavioural migration into soil profiles offers sufficient buffering against low summer temperatures.</t>
  </si>
  <si>
    <t>Univ Birmingham, Dept Biosci, Birmingham B15 2TT, W Midlands, England; British Antarctic Survey, Natl Environm Res Council, Cambridge CB3 0ET, England</t>
  </si>
  <si>
    <t>Hawes, TC (corresponding author), Univ Birmingham, Dept Biosci, Birmingham B16 2TT, W Midlands, England.</t>
  </si>
  <si>
    <t>tch349@bham.ac.uk</t>
  </si>
  <si>
    <t>0307-6946</t>
  </si>
  <si>
    <t>1365-2311</t>
  </si>
  <si>
    <t>ECOL ENTOMOL</t>
  </si>
  <si>
    <t>Ecol. Entomol.</t>
  </si>
  <si>
    <t>10.1111/j.1365-2311.2006.00796.x</t>
  </si>
  <si>
    <t>082QS</t>
  </si>
  <si>
    <t>WOS:000240402600007</t>
  </si>
  <si>
    <t>Negri, A; Burns, K; Boyle, S; Brinkman, D; Webster, N</t>
  </si>
  <si>
    <t>Negri, Andrew; Burns, Kathryn; Boyle, Steve; Brinkman, Diane; Webster, Nicole</t>
  </si>
  <si>
    <t>Contamination in sediments, bivalves and sponges of McMurdo Sound, Antarctica</t>
  </si>
  <si>
    <t>ENVIRONMENTAL POLLUTION</t>
  </si>
  <si>
    <t>Antarctica; metal; hydrocarbon; PAH; PCB; sediment; mollusc; sponge</t>
  </si>
  <si>
    <t>TERRA-NOVA BAY; HEAVY-METAL CONTAMINATION; BENTHIC MARINE POLLUTION; CLAM LATERNULA-ELLIPTICA; WINTER QUARTERS BAY; KING-GEORGE ISLAND; STATION; ENVIRONMENT; HYDROCARBONS; CADMIUM</t>
  </si>
  <si>
    <t>hThis study examined the concentrations of total hydrocarbons (THC), polychlorinated biphenyls (PCB), polyaromatic hydrocarbons (PAH), and trace metals (Cu, Zn, Cd, Pb, Hg and As) in marine sediments off Scott Base (NZ) and compared them with sediments near the highly polluted McMurdo Station (US) as well as less impacted sites including Turtle Rock and Cape Evans. The Antarctic mollusc, Laternula elliptica and three common sponge species were also analysed for trace metals. The mean THC concentration in sediments from Scott Base was 3 fold higher than the pristine site, Turtle Rock, but 10 fold lower than samples from McMurdo Station. McMurdo Station sediments also contained the highest concentrations of PAHs, PCBs and the trace metals, Cu, Zn, Pb, Cd and Hg. Copper was significantly higher in bivalves from McMurdo Station than other sites. Trace metal concentrations in sponges were generally consistent within sites but no spatial patterns were apparent. (c) 2005 Elsevier Ltd. All rights reserved.</t>
  </si>
  <si>
    <t>Australian Inst Marine Sci, Townsville, Qld 4810, Australia; Univ Canterbury, Christchurch 1, New Zealand</t>
  </si>
  <si>
    <t>Negri, A (corresponding author), Australian Inst Marine Sci, PMB 3, Townsville, Qld 4810, Australia.</t>
  </si>
  <si>
    <t>a.negri@aims.gov.au</t>
  </si>
  <si>
    <t>Brinkman, Diane/A-1084-2010; Webster, Nicole/G-4980-2011; Negri, Andrew/G-9909-2017</t>
  </si>
  <si>
    <t>Brinkman, Diane/0000-0002-6954-7667; Webster, Nicole/0000-0002-4753-5278; Negri, Andrew/0000-0003-1388-7395</t>
  </si>
  <si>
    <t>0269-7491</t>
  </si>
  <si>
    <t>1873-6424</t>
  </si>
  <si>
    <t>ENVIRON POLLUT</t>
  </si>
  <si>
    <t>Environ. Pollut.</t>
  </si>
  <si>
    <t>10.1016/j.envpol.2005.12.005</t>
  </si>
  <si>
    <t>060ML</t>
  </si>
  <si>
    <t>WOS:000238806200009</t>
  </si>
  <si>
    <t>Li, SK; Xiao, X; Yin, XB; Wang, FP</t>
  </si>
  <si>
    <t>Li, Shengkang; Xiao, Xiang; Yin, Xuebin; Wang, Fengping</t>
  </si>
  <si>
    <t>Bacterial community along a historic lake sediment core of Ardley Island, west Antarctica</t>
  </si>
  <si>
    <t>Antarctica; bacterial community; DGGE; lake sediment</t>
  </si>
  <si>
    <t>MARINE ENVIRONMENTS; DIVERSITY; POPULATIONS; PATHWAYS; ARCHAEA; RECORD</t>
  </si>
  <si>
    <t>The bacterial community in a historic lake sediment core of Ardley Island, Antarctica, spanning approximately 1,600 years, was investigated by molecular approaches targeting the 16S rRNA gene fragments. The cell number in each 1 cm layer of the sediment core was deduced through semi-quantification of the 16S rRNA gene copies by quantitative competitive PCR (QC-PCR). It was found that the total bacterial numbers remained relatively stable along the entire 59 cm sediment core. Denaturing Gradient Gel Electrophoresis (DGGE) analysis and sequencing of PCR-amplified 16S rRNA gene fragments were performed to analyze the bacterial diversity over the entire column. Principle coordinates analysis suggested that the bacterial communities along the sediment core could be separated into three groups. There were obvious bacterial community shift among groups of 1-20 cm, 21-46 cm and 46-59 cm. Diversity indices indicated that the bacterial community in the 21-46 cm depth showed the highest species diversity and uniformity. The main bacterial groups in the sediments fell into 4 major lineages of the gram-negative bacteria: the alpha gamma, and delta subdivision of Proteobacteria, the Cytophaga-Flavobacteria-Bacteroides, and some unknown sequences. The gram-positive bacteria Gemmatimonadetes, Firmicutes and Actinobacteria were also detected. The results demonstrated the presence of highly diverse bacterial community population in the Antarctic lake sediment core. And the possible influence of climate and penguin population change on the bacterial community shift along the sediment core was discussed.</t>
  </si>
  <si>
    <t>Third Inst Oceanog, State Ocean Adm, Key Lab Marine Biogenet Resources, Xiamen 361005, Peoples R China; Univ Sci &amp; Technol China, Inst Polar Environm, Hefei, Anhui, Peoples R China</t>
  </si>
  <si>
    <t>Third Institute of Oceanography, Ministry of Natural Resources; Chinese Academy of Sciences; University of Science &amp; Technology of China, CAS</t>
  </si>
  <si>
    <t>Wang, FP (corresponding author), Third Inst Oceanog, State Ocean Adm, Key Lab Marine Biogenet Resources, Xiamen 361005, Peoples R China.</t>
  </si>
  <si>
    <t>fengpingw@yahoo.com</t>
  </si>
  <si>
    <t>Xiao, Mengjiao/AAH-7767-2021</t>
  </si>
  <si>
    <t>Xiao, Mengjiao/0000-0002-6397-617X</t>
  </si>
  <si>
    <t>CHIYODA FIRST BLDG EAST, 3-8-1 NISHI-KANDA, CHIYODA-KU, TOKYO, 101-0065, JAPAN</t>
  </si>
  <si>
    <t>10.1007/s00792-006-0523-2</t>
  </si>
  <si>
    <t>103BU</t>
  </si>
  <si>
    <t>WOS:000241861500012</t>
  </si>
  <si>
    <t>Mukhopadhyay, S; Farley, KA</t>
  </si>
  <si>
    <t>Mukhopadhyay, S.; Farley, K. A.</t>
  </si>
  <si>
    <t>New insights into the carrier phase(s) of extraterrestrial 3He in geologically old sediments</t>
  </si>
  <si>
    <t>DEEP-SEA SEDIMENTS; INTERPLANETARY DUST PARTICLES; SUDBURY IMPACT STRUCTURE; HELIUM DIFFUSION; NOBLE-GASES; FLUX; THERMOCHRONOMETRY; MICROMETEORITES; PERIODICITY; LIMESTONES</t>
  </si>
  <si>
    <t>To better understand the composition, characteristics of helium diffusion, and size distribution of interplanetary dust particles (IDPs) responsible for the long-term retention of extraterrestrial He-3, we carried out leaching, stepped heating, and sieving experiments on pelagic clays that varied in age from 0.5 Ma to similar to 90 Myr. The leaching experiments suggest that the host phase(s) of He-3 in geologically old sediments are neither organic matter nor refractory phases, such as diamond, graphite, Al2O3, and SiC, but are consistent with extraterrestrial silicates, Fe-Ni sulfides, and possibly magnetite. Stepped heating experiments demonstrate that the He-3 release profiles from the magnetic and non-magnetic components of the pelagic clays are remarkably similar. Because helium diffusion is likely to be controlled by mineral chemistry and structure, the stepped heating results suggest a single carrier that may be magnetite, or more probably a phase associated with magnetite. Furthermore, the stepped outgassing experiments indicate that about 20% of the He-3 will be lost through diffusion at seafloor temperatures after 50 Myrs, while sedimentary rocks exposed on the Earth's surface for the same amount of time would lose up to 60%. The absolute magnitude of the 3 He loss is, however, likely to depend upon the He-3 concentration profile within the IDPs, which is not well known. Contrary to previous suggestions that micrometeorites in the size range of 50-100 mu m in diameter are responsible for the extraterrestrial He-3 in geologically old sediments [Stuart, F.M., Harrop, P.J., Knott, S., Turner, G., 1999. Laser extraction of helium isotopes from Antarctic micrometeorites: source of He and implications for the flux of extraterrestrial He-3 flux to earth. Geochim. Cosmochim. Acta 63, 2653-2665], our sieving experiment demonstrates that at most 20% of the He-3 is carried by particles greater than 50 mu m in diameter. The size-distribution of the He-3-bearing particles implies that extraterrestrial He-3 in sediments record the IDP flux rather than the micrometeorite flux. (c) 2006 Elsevier Inc. All rights reserved.</t>
  </si>
  <si>
    <t>Harvard Univ, Dept Earth &amp; Planetary Sci, Cambridge, MA 02138 USA; CALTECH, Div Geol &amp; Planetary Sci, Pasadena, CA 91125 USA</t>
  </si>
  <si>
    <t>Harvard University; California Institute of Technology</t>
  </si>
  <si>
    <t>Mukhopadhyay, S (corresponding author), Harvard Univ, Dept Earth &amp; Planetary Sci, 20 Oxford St, Cambridge, MA 02138 USA.</t>
  </si>
  <si>
    <t>sujoy@eps.harvard.edu</t>
  </si>
  <si>
    <t>Farley, Kenneth/AAE-7735-2020</t>
  </si>
  <si>
    <t>Farley, Kenneth/0000-0002-7846-7546</t>
  </si>
  <si>
    <t>OCT 1</t>
  </si>
  <si>
    <t>10.1016/j.gca.2006.06.1566</t>
  </si>
  <si>
    <t>093BX</t>
  </si>
  <si>
    <t>WOS:000241143300015</t>
  </si>
  <si>
    <t>Kozyreva, OV; Kleimenova, NG; Levitin, AE; Watermann, J</t>
  </si>
  <si>
    <t>Kozyreva, O. V.; Kleimenova, N. G.; Levitin, A. E.; Watermann, J.</t>
  </si>
  <si>
    <t>Long-period geomagnetic pulsations in the quasi-conjugate Arctic and Antarctic regions during the magnetic storm of April 16-17, 1999</t>
  </si>
  <si>
    <t>FIELD-ALIGNED CURRENTS; NORTH-SOUTH ASYMMETRY; SOLAR-WIND; ELECTRIC-FIELDS; INITIAL PHASE</t>
  </si>
  <si>
    <t>Based on the observations in six pairs of almost conjugate high-latitude stations in the Arctic and Antarctic regions, the spectral and spatial-temporal structures of long-period geomagnetic pulsations (f = 2-5 mHz) during the magnetic storm of April 16-17, 1999, which is characterized by a high (up to 20 nPa) solar wind dynamic pressure, have been studied. It has been indicated that the magnetic storm sudden commencement is accompanied by a symmetrical excitation of np pulsations near the dayside polar cusps with close amplitudes. Under the conditions when IMF B-z &gt; 0 and B-y &lt; 0, strong magnetic field variations with the periods longer than 15-20 min were observed only in the northern polar cap. When IMF B-z and B-y became close to zero, geomagnetic pulsation bursts in both hemispheres were registered simultaneously but differed in the spectral composition and spatial distribution. In the Northern Hemisphere, pulsations were as a rule observed in a more extensive latitude region than in the Southern Hemisphere. In the Northern Hemisphere, the oscillation amplitude maximum was observed at higher latitudes than in the Southern Hemisphere. The pulsation amplitude at geomagnetic latitude lower than 74 was larger in the Arctic Regions than in the Antarctic Regions. This can be explained by sharply different geographic longitudes in the polar cap and latitudes in the auroral zone, which results in a different ionospheric conductivity affecting the amplitude of geomagnetic pulsations.</t>
  </si>
  <si>
    <t>Russian Acad Sci, Schmidt Inst Phys Earth, Moscow 123810, Russia; Russian Acad Sci, Pushkov Inst Terr Magnetism Ionosphere &amp; Radiowav, Troitsk 142190, Moscow Oblast, Russia; Danish Meteorol Inst, Copenhagen, Denmark</t>
  </si>
  <si>
    <t>Russian Academy of Sciences; Schmidt Institute of Physics of the Earth of the Russian Academy of Sciences; Russian Academy of Sciences; Pushkov Institute of Terrestrial Magnetism, Ionosphere &amp; Radio Wave Propagation; Danish Meteorological Institute DMI</t>
  </si>
  <si>
    <t>Kozyreva, OV (corresponding author), Russian Acad Sci, Schmidt Inst Phys Earth, Bolshaya Gruzinskaya Ul 10, Moscow 123810, Russia.</t>
  </si>
  <si>
    <t>10.1134/S0016793206050100</t>
  </si>
  <si>
    <t>141KY</t>
  </si>
  <si>
    <t>WOS:000244578500010</t>
  </si>
  <si>
    <t>Moller, AP; Flensted-Jensen, E; Mardal, W</t>
  </si>
  <si>
    <t>Moller, A. P.; Flensted-Jensen, E.; Mardal, W.</t>
  </si>
  <si>
    <t>Dispersal and climate change:: a case study of the Arctic tern Sterna paradisaea</t>
  </si>
  <si>
    <t>Arctic tern; individual differences; north Atlantic oscillation; southern oscillation; Sterna paradisaea</t>
  </si>
  <si>
    <t>NORTH-ATLANTIC OSCILLATION; ECOLOGICAL CONDITIONS; BREEDING DISPERSAL; WINTER; HYBRIDIZATION; DISTANCES; SELECTION; BIRD; DATE</t>
  </si>
  <si>
    <t>Dispersal is an important evolutionary process that can affect admixture of populations and cause rapid responses to changing climatic conditions due to gene flow from populations at different altitudes or latitudes already experiencing these conditions. We investigated long-term patterns of natal and breeding dispersal in a coastal seabird, the Arctic tern Sterna paradisaea, that experiences specific climatic conditions in the northern temperate and Arctic climate zones during breeding and different climatic conditions in the Antarctic during winter. Long natal and breeding dispersal distances were costly as shown by their effects on delayed breeding. Dispersal distances varied significantly among years, with natal dispersal showing a strong temporal increase during the last 70 years. Annual differences in dispersal distance could be accounted for by climate conditions in the breeding grounds and the winter quarters. Natal dispersal was related to climate conditions in both the year of hatching and the year of breeding, whereas breeding dispersal was only related to climate conditions in the second year of the dispersal event. Only the north Atlantic oscillation (NAO) index for winter showed a consistent temporal trend, suggesting that the temporal trend in natal dispersal distance must be caused by changes in the NAO (or associated phenomena). These findings indicate that dispersal can change rapidly in response to changing climate conditions.</t>
  </si>
  <si>
    <t>Univ Paris 06, CNRS, UMR 7103, Lab Parasitol Evolut, F-75252 Paris 05, France</t>
  </si>
  <si>
    <t>Centre National de la Recherche Scientifique (CNRS); Sorbonne Universite</t>
  </si>
  <si>
    <t>Moller, AP (corresponding author), Univ Paris 06, CNRS, UMR 7103, Lab Parasitol Evolut, Bat A,7 Etage,7 Quai St Bernard,Case 237, F-75252 Paris 05, France.</t>
  </si>
  <si>
    <t>amoller@snv.jussieu.fr</t>
  </si>
  <si>
    <t>Moller, Anders/O-6665-2016</t>
  </si>
  <si>
    <t>1365-2486</t>
  </si>
  <si>
    <t>10.1111/j.1365-2486.2006.01216.x</t>
  </si>
  <si>
    <t>084UX</t>
  </si>
  <si>
    <t>WOS:000240561000016</t>
  </si>
  <si>
    <t>Macelloni, G; Brogioni, M; Pampaloni, P; Cagnati, A; Drinkwater, MR</t>
  </si>
  <si>
    <t>Macelloni, Giovanni; Brogioni, Marco; Pampaloni, Paolo; Cagnati, Anselmo; Drinkwater, Mark R.</t>
  </si>
  <si>
    <t>DOMEX 2004: An experimental campaign at Dome-C Antarctica for the calibration of spaceborne low-frequency microwave radiometers</t>
  </si>
  <si>
    <t>25th International Geoscience and Remote Sensing Symposium</t>
  </si>
  <si>
    <t>JUL 24-29, 2005</t>
  </si>
  <si>
    <t>Seoul, SOUTH KOREA</t>
  </si>
  <si>
    <t>Antarctica; calibration; L-band; microwave radiometry; Soil Moisture and Ocean Salinity (SMOS)</t>
  </si>
  <si>
    <t>Satellite data are the most suitable tools for monitoring time and spatial variations of snow covered areas and for studying snow characteristics on a global scale. Current knowledge of the microwave emission from the deep ice sheet in Antarctica is limited by the lack of low-frequency satellite sensors and by their inadequate knowledge of the physical effects' governing microwave emission at wavelengths exceeding 5 cm. On the other hand, in addition to the interest related to climatic changes and to glaciological and hydrological applications, there is growing interest, on the part of the remote sensing community, in using the Antarctic and, in particular, the Dome-C plateau where the Concordia station is located, for calibrating and validating data of satellite-borne microwave and optical radiometers. This is because of the size, structure, spatial homogeneity, and thermal stability of this area. With a view to the future launches of two new low-frequency spaceborne sensors Soil Moisture and Ocean Salinity mission and Aquarius, an experiment was carried out at Dome-C, thanks to financial support from European Space Agency, aimed at evaluating the stability and the absolute value of the L- and C-band brightness temperature Tb. This paper presents a report on the experimental campaign, the characteristics of the radiometric measurements, and on the main results. The C-band Tb data indicated a diurnal cycle amplitude of a few kelvin. It was confirmed that this takes place as a consequence of observed variability in the physical temperature of the top 4 in of the snowpack around the mean surface value of -24 degrees C. In contrast, the L-band data indicated extremely stable Tb values of 192.32 K (1 sigma = 0.18 K) and 190.77 K (1 sigma = 0.57 K) at theta = 45 degrees and theta = 56 degrees, respectively.</t>
  </si>
  <si>
    <t>CNR, IFAC, I-50019 Florence, Italy; CeTeM, I-50019 Florence, Italy; CVA, ARPAV, I-32020 Arabba, BL, Italy; European Space Technol Ctr, Oceans Ice Unit, Earth Sci Div, EOP,SMO, NL-2201 AZ Noordwijk, Netherlands</t>
  </si>
  <si>
    <t>Macelloni, G (corresponding author), CNR, IFAC, I-50019 Florence, Italy.</t>
  </si>
  <si>
    <t>G.Macelloni@ifac.cnr.it; M.Brogioni@ifac.cnr.it; P.Pampaloni@ifac.cnr.it</t>
  </si>
  <si>
    <t>Brogioni, Marco/Q-6583-2019; Macelloni, Giovanni/B-7518-2015; Brogioni, Marco/B-7522-2015; Drinkwater, Mark/C-2478-2011</t>
  </si>
  <si>
    <t>Brogioni, Marco/0000-0001-6232-6020; Brogioni, Marco/0000-0001-6232-6020; Drinkwater, Mark/0000-0002-9250-3806; MACELLONI, GIOVANNI/0000-0002-9738-7939</t>
  </si>
  <si>
    <t>445 HOES LANE, PISCATAWAY, NJ 08855-4141 USA</t>
  </si>
  <si>
    <t>1558-0644</t>
  </si>
  <si>
    <t>10.1109/TGRS.2006.882801</t>
  </si>
  <si>
    <t>089LB</t>
  </si>
  <si>
    <t>WOS:000240881000004</t>
  </si>
  <si>
    <t>Li, YH; Davis, CH</t>
  </si>
  <si>
    <t>Li, Yonghong; Davis, Curt H.</t>
  </si>
  <si>
    <t>Improved methods for analysis of decadal elevation-change time series over Antarctica</t>
  </si>
  <si>
    <t>25th Intenational Geoscience and Remote Sensing Symposium</t>
  </si>
  <si>
    <t>autoregressive (AR) models; elevation change; ice sheets; satellite altimetry; time series</t>
  </si>
  <si>
    <t>ICE-SHEET; ALTIMETRY</t>
  </si>
  <si>
    <t>In this paper, several techniques to improve the processing and analysis of decadal elevation-change time series (ECTS) constructed using satellite radar altimeter data over the Antarctic ice sheet are described. First, a method that improves both the quality and quantity of ice-sheet ECTS is introduced. By dynamically selecting the reference month used in constructing ECTS for a given local region, the maximum number of elevation-change estimates are used in a matrix processing technique. This can improve ECTS quality while also generating ECTS in new areas, leading to a significant increase in spatial coverage. Next, an improved autoregressive (IAR) approach is presented for modeling nonlinear medium-period variations in decadal Antarctic ECTS. This builds upon previous work where an AR model was used to characterize seasonal and interannual variations in ice-sheet ECTS. The improved approach avoids overdecomposition by adopting an iterative local average filter to estimate nonlinear medium-period trends. Monte Carlo simulations show that the JAR method significantly outperforms the AR method when realistic nonlinear trends are present. Because of these characteristics, the JAR model is able to adequately characterize seasonal, interannual, and medium-period nonlinear signals present in decadal ECTS and extract their long-term trends with very small error. This is important for accurate measurement of decadal elevation change over the Antarctic ice sheet and for assessing the impact of these changes on the global sea level.</t>
  </si>
  <si>
    <t>Univ Missouri, Dept Elect &amp; Comp Engn, Columbia, MO 65211 USA</t>
  </si>
  <si>
    <t>University of Missouri System; University of Missouri Columbia</t>
  </si>
  <si>
    <t>Li, YH (corresponding author), Univ Missouri, Dept Elect &amp; Comp Engn, Columbia, MO 65211 USA.</t>
  </si>
  <si>
    <t>davisch@missouri.edu</t>
  </si>
  <si>
    <t>Gu, Yucheng/GPX-1847-2022</t>
  </si>
  <si>
    <t>Gu, Yucheng/0000-0002-6400-6167</t>
  </si>
  <si>
    <t>10.1109/TGRS.2006.871894</t>
  </si>
  <si>
    <t>WOS:000240881000008</t>
  </si>
  <si>
    <t>Sorribas, J; del Río, J; Trullols, E; Mànuel-Làzaro, A</t>
  </si>
  <si>
    <t>Sorribas, Jordi; del Rio, Joaquin; Trullols, Enric; Manuel-Lazaro, Antoni</t>
  </si>
  <si>
    <t>A meteorological data distribution system using remote method invocation technology</t>
  </si>
  <si>
    <t>IEEE TRANSACTIONS ON INSTRUMENTATION AND MEASUREMENT</t>
  </si>
  <si>
    <t>distributed systems; Java; meteorology; object oriented; remote method invocation (RMI)</t>
  </si>
  <si>
    <t>A meteorological data distribution system (MDDS) is presented. The system was implemented in the Spanish Juan Carlos I Antarctic station during the 2002-2003 campaign. Meteorological data are distributed to any point of the base using the LAN, which allows distributing data up to a 3.3-km radius from the acquisition point. The acquisition control procedures are also integrated in the same system. A wide range of difficulties have been overcome during the development of the MDDS, including the integration of heterogeneous components, the integrity of the message system, the future extension and scalability of the system, fault tolerance, process concurrency, and the temporary synchronization of all the applications involved. These have been achieved through three steps, namely 1) design of a complete object-oriented model of the system; 2) implementation of this model using a scalable and portable development environment, such as Java; and 3) use of an intercommunication application technology that fits all the system requirements (high level of abstraction and easy to program and to deploy) as the remote method invocation technology from Java. This development is part of a more ambitious project, called LabVir, that is devoted to implement distributed measurements in Spanish oceanographic vessels and in the Antarctic base using Web technology interfaces. In a more general framework, the LabVir project will make the experimentation tools accessible from any existing navigator, creating a distributed research environment, that is accessible and user friendly from any place with hypertext transfer protocol connectivity.</t>
  </si>
  <si>
    <t>CMIMA, Unidad Tecnol Marina, Barcelona 08042, Spain; Univ Politecn Cataluna, E-08028 Barcelona, Spain</t>
  </si>
  <si>
    <t>Consejo Superior de Investigaciones Cientificas (CSIC); CSIC - Centro Mediterraneo de Investigaciones Marinas y Ambientales (CMIMA); CSIC - Unidad de Tecnologia Marina (UTM); Universitat Politecnica de Catalunya</t>
  </si>
  <si>
    <t>Sorribas, J (corresponding author), CMIMA, Unidad Tecnol Marina, Barcelona 08042, Spain.</t>
  </si>
  <si>
    <t>sorribas@cmima.csic.es; joaquin.del.rio@upc.edu; enric@mat.upc.edu; antoni.manuel@upc.edu</t>
  </si>
  <si>
    <t>Trullols, Enric/ABG-3475-2020; Manuel, Antoni/N-7537-2017; del Rio, Joaquin/K-8251-2014</t>
  </si>
  <si>
    <t>Manuel, Antoni/0000-0002-6161-0908; Sorribas Cervantes, Jordi/0000-0003-2395-546X; del Rio, Joaquin/0000-0002-6191-2201</t>
  </si>
  <si>
    <t>0018-9456</t>
  </si>
  <si>
    <t>1557-9662</t>
  </si>
  <si>
    <t>IEEE T INSTRUM MEAS</t>
  </si>
  <si>
    <t>IEEE Trans. Instrum. Meas.</t>
  </si>
  <si>
    <t>10.1109/TIM.2006.881572</t>
  </si>
  <si>
    <t>Engineering, Electrical &amp; Electronic; Instruments &amp; Instrumentation</t>
  </si>
  <si>
    <t>Engineering; Instruments &amp; Instrumentation</t>
  </si>
  <si>
    <t>087QD</t>
  </si>
  <si>
    <t>WOS:000240756200048</t>
  </si>
  <si>
    <t>Van den Broeke, M; Reijmer, C; Van As, D; Boot, W</t>
  </si>
  <si>
    <t>Van den Broeke, Michiel; Reijmer, Carleen; Van As, Dirk; Boot, Wim</t>
  </si>
  <si>
    <t>Daily cycle of the surface energy balance in Antarctica and the influence of clouds</t>
  </si>
  <si>
    <t>Antarctica; meterology; surface energy balance</t>
  </si>
  <si>
    <t>KATABATIC WIND REGIME; BOUNDARY-LAYER; BLUE ICE; SCALAR ROUGHNESS; EAST ANTARCTICA; CLIMATE MODEL; HEAT-BALANCE; ADELIE-LAND; MAUD-LAND; SNOW</t>
  </si>
  <si>
    <t>We present the summertime daily cycle of the Antarctic surface energy balance (SEB) and its sensitivity to cloud cover. We use data of automatic weather stations (AWS) located in four major Antarctic climate zones: the coastal ice shelf, the coastal and interior katabatic wind zone and the interior plateau. Absorbed short wave radiation drives the daily cycle of the SEB, in spite of the high surface albedo (0.84-0.88). The dominant heat sink is the cooling by long wave radiation, but this flux is distributed more evenly throughout the day so that a pronounced daily cycle in net all-wave radiation remains with all-sky night-time heat losses of 20-30 W m(-2) and noontime heat gains of 30-40 W m(-2). During the night, heat is re-supplied to the snow surface by the sensible heat flux, especially in the katabatic wind zone, and the sub-surface heat flux Daytime radiative energy excess is removed from the surface by sublimation (except at the high plateau) and sub-surface heat transport. Daytime convection occurs at all sites around solar noon but is generally weak. Spatial differences in the SEB are largely controlled by differences in cloud cover. Clouds are associated with higher surface temperatures and near-surface wind speeds. This especially limits nocturnal cooling, so that the strongest daytime convection is found during overcast conditions on the interior plateau. Copyright (C) 2006 Royal Meteorological Society.</t>
  </si>
  <si>
    <t>Univ Utrecht, IMAU, NL-3508 TA Utrecht, Netherlands</t>
  </si>
  <si>
    <t>Van den Broeke, M (corresponding author), Univ Utrecht, IMAU, POB 80005, NL-3508 TA Utrecht, Netherlands.</t>
  </si>
  <si>
    <t>broeke@phys.uu.nl</t>
  </si>
  <si>
    <t>Van den Broeke, Michiel R./F-7867-2011; Reijmer, Carleen H/G-8736-2011</t>
  </si>
  <si>
    <t>Van den Broeke, Michiel R./0000-0003-4662-7565; Reijmer, Carleen H/0000-0001-8299-3883; van As, Dirk/0000-0002-6553-8982</t>
  </si>
  <si>
    <t>10.1002/joc.1323</t>
  </si>
  <si>
    <t>097VT</t>
  </si>
  <si>
    <t>WOS:000241478000003</t>
  </si>
  <si>
    <t>Radionov, VF; Rusina, EN</t>
  </si>
  <si>
    <t>Radionov, V. F.; Rusina, E. N.</t>
  </si>
  <si>
    <t>Measurements of the total ozone content in the central Arctic Basin</t>
  </si>
  <si>
    <t>IZVESTIYA ATMOSPHERIC AND OCEANIC PHYSICS</t>
  </si>
  <si>
    <t>In 2003, measurements of the total ozone content (TOC) in the central Arctic Basin were resumed after a long-term break at the NP-32 and NP-33 drifting research stations. This paper presents the first results of analyses of the observational data obtained at the NP-32 and NP-33 stations and aboard the R/V Akademik Fedorov. An approach allowing comparison fo the mean ozone-content values measured in different time periods from moving platforms, such as drifting stations and research vessels, is used. The TOC variability over the central Arctic Basin in 2003-2005 is described, and results of comparison of these data with the data of both long-term TOC measurements at a number of stationary Arctic stations in 1973-2002 and measurements at the NP-22 station in 1976-1977 are presented.</t>
  </si>
  <si>
    <t>Arctic &amp; Antarctic Res Inst, St Petersburg 199397, Russia</t>
  </si>
  <si>
    <t>Radionov, VF (corresponding author), Arctic &amp; Antarctic Res Inst, Ul Beringa 38, St Petersburg 199397, Russia.</t>
  </si>
  <si>
    <t>vradion@aari.nw.ru</t>
  </si>
  <si>
    <t>Radionov, Vladimir F./O-3038-2017</t>
  </si>
  <si>
    <t>0001-4338</t>
  </si>
  <si>
    <t>1555-628X</t>
  </si>
  <si>
    <t>IZV ATMOS OCEAN PHY+</t>
  </si>
  <si>
    <t>Izv. Atmos. Ocean. Phys.</t>
  </si>
  <si>
    <t>10.1134/S0001433806050136</t>
  </si>
  <si>
    <t>157FZ</t>
  </si>
  <si>
    <t>WOS:000245705400013</t>
  </si>
  <si>
    <t>Andrés, M; Werlinger, C; Palacios, M; Navarro, NP; Cuadra, P</t>
  </si>
  <si>
    <t>Andres, Mansilla; Werlinger, C.; Palacios, M.; Navarro, N. P.; Cuadra, P.</t>
  </si>
  <si>
    <t>Effects of UVB radiation on the initial stages of growth of Gigartina skottsbergii, sarcothalia crispata and Mazzaella laminarioides (Gigartinales, rhodophyta)</t>
  </si>
  <si>
    <t>growth; macroalgae; Magellanic Region; UV</t>
  </si>
  <si>
    <t>ULTRAVIOLET-B RADIATION; INDUCED DNA-DAMAGE; AMINO-ACIDS; CHONDRUS-CRISPUS; PHOTOSYSTEM-II; G. CHLOROPHYTA; MACROALGAE; PHOTOINHIBITION; PHOTOSYNTHESIS; CONSEQUENCES</t>
  </si>
  <si>
    <t>The effects of UVB radiation on the growth of macroalgal thalli were evaluated using tetrasporophytic fronds of the Rhodophytes Gigartina skottsbergii, Sarcothalia crispata and Mazzaella laminarioides. The tetrasporophytic fronds were collected from nature and the tetrasporophyte sporelings grown in a temperature regulated chamber at 8 +/- 2 degrees C with a 12L:12D (Light:Dark) photoperiod, Photosynthetically Active Radiation (PAR) of 55 mu mol photons m(-2) s(-1) and seawater enriched with 20 mL L(-1) of Provasoli medium. We exposed the thalli of these macroalgae to PAR (55 mu mol photons m(-2) s(-1)) and three treatments using a combination of PAR with three different levels of UVB radiation (0.10, 0.15 and 0.23 W m(-2) stop for G. skottsbergii and S. crispata and 0.02, 0.05 and 0.10 W m(-2) stop for M. laminarioides) during a period of 71 days. Growth of thalli was quantified by measuring their length using digitized photographs of samples. Important differences were detected in the growth of individuals cultured under the effects of UVB radiation, when compared to the control (i.e. plants exposed to PAR only). In the case of G. skottsbergii and S. crispata higher levels of UVB radiation resulted in slower growth of thalli. In nearly all measurements for the first two species, UVB radiation levels of 0.1 W m(-2) stop induced differences in thallus growth, while for M. laminarioides levels of UVB radiation of 0.1 W m(-2) stop were effective only after a prolonged period of exposure. Differential effects of UVB radiation on G. skottsbergii, S. crispata and M. laminarioides could interfere with the natural populations of these economically important macroalgal species in southern Chile, where they occur under the annual influence of the Antarctic Ozone Hole and the general thinning of the ozone layer.</t>
  </si>
  <si>
    <t>Univ Magallanes, Fac Ciencias, Punta Arenas, Chile; Univ Concepcion, Dpto Oceanog, Concepcion, Chile</t>
  </si>
  <si>
    <t>Universidad de Magallanes; Universidad de Concepcion</t>
  </si>
  <si>
    <t>Andrés, M (corresponding author), Univ Magallanes, Fac Ciencias, Casilla 113-D, Punta Arenas, Chile.</t>
  </si>
  <si>
    <t>andres.mansilla@umag.cl</t>
  </si>
  <si>
    <t>Palacios, Mauricio/AAT-5074-2020; Navarro, Nuria/A-3765-2009</t>
  </si>
  <si>
    <t>Palacios, Mauricio/0000-0002-5484-8459; Mansilla, Andres/0000-0003-3505-7018</t>
  </si>
  <si>
    <t>3-5</t>
  </si>
  <si>
    <t>10.1007/s10811-006-9051-9</t>
  </si>
  <si>
    <t>111ET</t>
  </si>
  <si>
    <t>WOS:000242434900028</t>
  </si>
  <si>
    <t>Scheer, J; Reisin, ER; Gusev, OA; French, WJR; Hernandez, G; Huppi, R; Ammosov, P; Gavrilyeva, GA; Offermann, D</t>
  </si>
  <si>
    <t>Scheer, J.; Reisin, E. R.; Gusev, O. A.; French, W. J. R.; Hernandez, G.; Huppi, R.; Ammosov, P.; Gavrilyeva, G. A.; Offermann, D.</t>
  </si>
  <si>
    <t>Use of CRISTA mesopause region temperatures for the intercalibration of ground-based instruments</t>
  </si>
  <si>
    <t>mesopause region; temperature; airglow; satellite</t>
  </si>
  <si>
    <t>CRYOGENIC INFRARED SPECTROMETERS; TRANSITION-PROBABILITIES; ROTATIONAL TEMPERATURES; LOWER THERMOSPHERE; TIDAL SIGNATURES; EL-LEONCITO; LARGE-SCALE; AIRGLOW; TELESCOPES; CALIBRATION</t>
  </si>
  <si>
    <t>Most available ground-based (GB) techniques for measuring temperatures in the upper mesosphere to lower thermosphere (or mesopause region) have systematic errors that are comparable to those of orbiting instruments. Determining these unknown biasses would normally require colocated observations that are only seldom feasible. Satellite measurements can be used as a transfer standard between GB observations that are not colocated. In this context, even with a reproducible or known bias in the satellite data, the comparison is still meaningful. Since Cryogenic Infrared Spectrometers and Telescopes for the Atmosphere (CRISTA) temperatures cover the mesopause region with very good accuracy (statistical errors do not exceed 1.5 K and systematic uncertainties range from about 3-7.5 K), they are quite suitable for this purpose. Because of the nearly constant precision over the height range of interest, also rotational temperatures of airglow emissions from different altitudes like the OH and O-2 bands (or the OI 558 nm line) can be successfully compared with each other. In spite of the limited number of overpasses during the relatively short CRISTA missions, the feasibility of such an intercalibration is demonstrated for widely separated GB sites. Here, the results obtained for GB measurements at eight different sites, using CRISTA-1 and CRISTA-2 data, are presented. For OH temperatures, the standard deviation between the different instruments is only 5.4 K, confirming previous estimates. (C) 2006 Elsevier Ltd. All rights reserved.</t>
  </si>
  <si>
    <t>UBA, CONICET, Inst Astron &amp; Fis Espacio, Buenos Aires, DF, Argentina; Univ Wuppertal, Dept Phys, Wuppertal, Germany; Australian Antarctic Div, Kingston, Tas, Australia; Univ Washington, Dept Earth &amp; Space Sci, Seattle, WA 98195 USA; Utah State Univ, Winchester, MA 01890 USA; Inst Cosmophys Res &amp; Aeron, Yakutsk, Russia</t>
  </si>
  <si>
    <t>Instituto de Astronomia y Fisica del Espacio (IAFE); Consejo Nacional de Investigaciones Cientificas y Tecnicas (CONICET); University of Buenos Aires; University of Wuppertal; Australian Antarctic Division; University of Washington; University of Washington Seattle; Utah System of Higher Education; Utah State University; Russian Academy of Sciences; Shafer Institute of Cosmophysical Research &amp; Aeronomy, Siberian Branch of the Russian Academy of Sciences</t>
  </si>
  <si>
    <t>Scheer, J (corresponding author), UBA, CONICET, Inst Astron &amp; Fis Espacio, Buenos Aires, DF, Argentina.</t>
  </si>
  <si>
    <t>jurgen@caerce.edu.ar</t>
  </si>
  <si>
    <t>Gavrilyeva, Galina/HMU-9584-2023; Gavrilyeva, Galina/AAF-4484-2019; Gavrilyeva, Galina/B-9487-2014</t>
  </si>
  <si>
    <t>Gavrilyeva, Galina/0000-0002-5968-5644; Hernandez, Gonzalo/0000-0003-4245-8696; Reisin, Esteban Rodolfo/0000-0003-3551-6819; French, John/0000-0001-9305-6190</t>
  </si>
  <si>
    <t>10.1016/j.jastp.2005.12.009</t>
  </si>
  <si>
    <t>101PH</t>
  </si>
  <si>
    <t>WOS:000241752200003</t>
  </si>
  <si>
    <t>Jana, PK; Nandi, SC</t>
  </si>
  <si>
    <t>Jana, P. K.; Nandi, S. C.</t>
  </si>
  <si>
    <t>Ozone decline and its effect on night airglow intensity of Na 5893Å at Dumdum (22.5°N, 88.5°E) and Halley Bay (76°S, 27°W)</t>
  </si>
  <si>
    <t>ozone depletion; airglow intensity</t>
  </si>
  <si>
    <t>EMISSIONS; SODIUM</t>
  </si>
  <si>
    <t>The paper presents the effect of O-3 depletion on night airglow emission of Na 5893 angstrom line at Dumdum (22.5 degrees N, 88.5 degrees E), India and Halley Bay (76 degrees S, 27 degrees W), a British Antarctic service station. Calculations based on chemical kinetics show that the airglow intensity of Na 5893 angstrom line will also be affected due to the depletion of O-3 concentration. The nature of yearly variation and seasonal variation of the intensity of Na 5893 angstrom line for the above two stations are shown and compared. It is shown that the rate of decrease of intensity of Na 5893 angstrom line is comparatively more at Halley Bay due to the dramatic decrease of Antarctic O-3 concentration. A possible explanation for this dramatic decrease of Antarctic O-3 concentration is also mentioned.</t>
  </si>
  <si>
    <t>Inst Educ Womens, Dept Chem, Hooghly 712138, W Bengal, India; Serampore High Sch, Hooghly 712201, W Bengal, India</t>
  </si>
  <si>
    <t>Jana, PK (corresponding author), Inst Educ Womens, Dept Chem, Hooghly 712138, W Bengal, India.</t>
  </si>
  <si>
    <t>pkjingl@yahoo.co.in</t>
  </si>
  <si>
    <t>0973-774X</t>
  </si>
  <si>
    <t>10.1007/BF02702913</t>
  </si>
  <si>
    <t>107XD</t>
  </si>
  <si>
    <t>WOS:000242203400007</t>
  </si>
  <si>
    <t>Quilty, PG; Hosie, G</t>
  </si>
  <si>
    <t>Quilty, Patrick G.; Hosie, Graham</t>
  </si>
  <si>
    <t>Modern foraminifera, Swan River estuary, Western Australia: Distribution and controlling factors</t>
  </si>
  <si>
    <t>JOURNAL OF FORAMINIFERAL RESEARCH</t>
  </si>
  <si>
    <t>DISTRIBUTION PATTERNS; VARIABILITY; AMMONIA</t>
  </si>
  <si>
    <t>Sediment samples have been examined from 51 locations between the Narrows Bridge and Fremantle Harbour in the Swan River estuary. All have yielded foraminifera and all but one provided data in which distinctive trends can be recognized. Foraminiferal number (number of specimens in 10 g dry weight of sample) decreases upstream until near Narrows Bridge, where it increases again. Values are &gt; 2500 for most samples through Fremantle Harbour to Blackwall Reach and just past Point Walter. The higher numbers correlate with the outside of the bends in the river, reflecting a higher energy, more marine influence. The highest value is similar to 10,000 at Station 2. Values of 500-2500 occur in the inside of the river bends between Fremantle and Blackwall Reach, probably correlating with a slightly lower energy environment. There is a separate region of 500-2500 values in a narrow strip from the Narrows Bridge into Melville Water, probably due to the influx of river-borne nutrients; the composition of faunas contributing to this high value is quite different from that between Fremantle and Blackwall Reach. Two regions of lower values (100-500 and &lt; 100) are recognizable, both confined to Melville Water, the lower values apparently coinciding with the mud-filled basin of the river. In the Fremantle Harbour - Blackwall Reach section of the river, Ammonia cf. aoteana (Finlay) makes up &lt; 5% of the foraminiferal fauna, but &gt; 50% of faunas near the Narrows Bridge and in most of Melville Water, excluding the shallower parts particularly to the northwest. In contrast to A. cf. aoteana, miliolids make up &gt; 50% of faunas in the southern side of Blackwall Reach and extend just into Melville Water. They make up &lt; 5% of the fauna where A. cf. aoteana is &gt; 50%. The inverse relationship between A. cf. aoteana and miliolids is very marked. Elphidium constitutes up to 90% of the foraminiferal fauna, but this polyspecific estuarine genus is concentrated towards the marine end of the estuary. Diversity in foraminifera decreases and dominance increases upstream.</t>
  </si>
  <si>
    <t>Univ Tasmania, Sch Earth Sci, Hobart, Tas 7001, Australia; Australian Antarctic Div, Kingston, Tas 7050, Australia</t>
  </si>
  <si>
    <t>Quilty, PG (corresponding author), Univ Tasmania, Sch Earth Sci, Private Bag 79, Hobart, Tas 7001, Australia.</t>
  </si>
  <si>
    <t>P.Quilty@utas.edu.au</t>
  </si>
  <si>
    <t>CUSHMAN FOUNDATION FORAMINIFERAL RES</t>
  </si>
  <si>
    <t>MUSEUM COMPARATIVE ZOOLOGY, DEPT INVERTEBRATE PALEONTOLOGY 26 OXFORD ST, HARVARD UNIV, CAMBRIDGE, MA 02138 USA</t>
  </si>
  <si>
    <t>0096-1191</t>
  </si>
  <si>
    <t>J FORAMIN RES</t>
  </si>
  <si>
    <t>J. Foraminifer. Res.</t>
  </si>
  <si>
    <t>10.2113/gsjfr.36.4.291</t>
  </si>
  <si>
    <t>101BZ</t>
  </si>
  <si>
    <t>WOS:000241715200002</t>
  </si>
  <si>
    <t>Hayward, BW; Grenfell, HR; Sabaa, AT; Hayward, CM; Neil, HL</t>
  </si>
  <si>
    <t>Hayward, Bruce W.; Grenfell, Hugh R.; Sabaa, Ashwaq T.; Hayward, Clare M.; Neil, Helen L.</t>
  </si>
  <si>
    <t>Ecological distribution of benthic foraminifera, offshore Northeast New Zealand</t>
  </si>
  <si>
    <t>EAST AUCKLAND CURRENT; DEEP-SEA FORAMINIFERA; EQUATORIAL PACIFIC; SPECIES-DIVERSITY; WATER; ATLANTIC; PATTERNS; SHELF; PHYTODETRITUS; MARGIN</t>
  </si>
  <si>
    <t>Northeast of New Zealand, nine benthic foraminiferal associations are recognized and mapped (50-3800 m depth) based on cluster analysis of faunal census data (&gt; 63 mu m, 235 species, 56 samples). Similar associations are identified using cluster analysis based on the presence or absence of species. Canonical correspondence analysis shows that the associations correlate most strongly with factors related to water depth, especially decreasing food supply (organic carbon flux) with increasing depth. The depth-stratified distribution of lower bathyal to abyssal (&gt; 1000 m) associations accords well with the deep water masses, and is attributed in part to lower oxygen concentrations in the bottom waters. The two deepest associations, dominated by Alabaminella weddellensis, Epistominella exigua, Bulimina marginata L aculeata, Globocassidulina subglobosa, and Oridorsalis umbonatus, underlie the oxygen minimum zone of Circumpolar Deep Water. A midlower bathyal association dominated by Cassidulina carinata, Alabaminella weddellensis, Abditodentrix pseudothalmanni, and Trifarina occidentalis, underlies Antarctic Intermediate Water. In addition to their bathymetric stratification, mid shelf to upper bathyal (50-600 m) associations also show latitudinal variation that may reflect differences in terrigenous mud (abundant Eilohedra vitrea), bottom current strength, food supply (more abundant Cassidulina carinata) and nutrient remineralization on the seafloor. At depths of &lt; 1000 m, the benthic foraminiferal assemblages of this study are more similar to those off the west coast than those further south down the east coast. This may reflect lower levels of phytoplankton productivity and consequent benthic food supply, than occurs in the vicinity of the Subtropical Front, east of central New Zealand. Individual foraminiferal faunas off northeast New Zealand are more species rich (Fisher Alpha Index, alpha 14-18) than those further south (alpha 10-13). Total foraminiferal species richness (&gt; 50 m depth) is similar off northeast (235 species) and eastern (246 species) New Zealand and higher than off the west coast (150 species).</t>
  </si>
  <si>
    <t>Geomarine Res, Auckland, New Zealand; Natl Inst Water &amp; Atmosphere, Wellington, New Zealand</t>
  </si>
  <si>
    <t>Hayward, BW (corresponding author), Geomarine Res, 49 Swainston Rd, Auckland, New Zealand.</t>
  </si>
  <si>
    <t>b.hayward@geomarine.org.nz</t>
  </si>
  <si>
    <t>HAYWARD, BRUCE W/AAG-2597-2019</t>
  </si>
  <si>
    <t>Hayward, Bruce W./0000-0003-1302-7686</t>
  </si>
  <si>
    <t>CUSHMAN FOUNDATION FORAMINIFERAL RESEARCH</t>
  </si>
  <si>
    <t>PO BOX 7065, LAWRENCE, KS 66044-7065 USA</t>
  </si>
  <si>
    <t>10.2113/gsjfr.36.4.332</t>
  </si>
  <si>
    <t>WOS:000241715200004</t>
  </si>
  <si>
    <t>Tribbeck, MJ; Gurney, RJ; Morris, EM</t>
  </si>
  <si>
    <t>Tribbeck, M. J.; Gurney, R. J.; Morris, E. M.</t>
  </si>
  <si>
    <t>The radiative effect of a fir canopy on a snowpack</t>
  </si>
  <si>
    <t>JOURNAL OF HYDROMETEOROLOGY</t>
  </si>
  <si>
    <t>LEAF-AREA INDEX; UNITED-STATES; BOREAL FORESTS; CONIFEROUS FOREST; ENERGY-BALANCE; SURFACE ALBEDO; MODEL; IDAHO; SNOWMELT; DATABASE</t>
  </si>
  <si>
    <t>Models of snow processes in areas of possible large-scale change need to be site independent and physically based. Here, the accumulation and ablation of the seasonal snow cover beneath a fir canopy has been simulated with a new physically based snow-soil vegetation-atmosphere transfer scheme (Snow-SVAT) called SNOWCAN. The model was formulated by coupling a canopy optical and thermal radiation model to a physically based multilayer snow model. Simple representations of other forest effects were included. These include the reduction of wind speed and hence turbulent transfer beneath the canopy, sublimation of intercepted snow, and deposition of debris on the surface. This paper tests this new modeling approach fully at a fir site within Reynolds Creek Experimental Watershed, Idaho. Model parameters were determined at an open site and subsequently applied to the fir site. SNOWCAN was evaluated using measurements of snow depth, subcanopy solar and thermal radiation, and snowpack profiles of temperature, density, and grain size. Simulations showed good agreement with observations (e.g., fir site snow depth was estimated over the season with r(2) = 0.96), generally to within measurement error. However, the simulated temperature profiles were less accurate after a melt-freeze event, when the temperature discrepancy resulted from underestimation of the rate of liquid water flow and/or the rate of refreeze. This indicates both that the general modeling approach is applicable and that a still more complete representation of liquid water in the snowpack will be important.</t>
  </si>
  <si>
    <t>Univ Reading, Environm Syst Sci Ctr, Reading RG6 6AL, Berks, England; British Antarctic Survey, NERC, Cambridge CB3 0ET, England</t>
  </si>
  <si>
    <t>University of Reading; UK Research &amp; Innovation (UKRI); Natural Environment Research Council (NERC); NERC British Antarctic Survey</t>
  </si>
  <si>
    <t>Morris, EM (corresponding author), Univ Reading, Environm Syst Sci Ctr, 3 Earley Gate, Reading RG6 6AL, Berks, England.</t>
  </si>
  <si>
    <t>mjt@mail.nerc-essc.ac.uk</t>
  </si>
  <si>
    <t>Sandells, Melody/AAO-4664-2020; Morris, Elizabeth M/A-6081-2012</t>
  </si>
  <si>
    <t>Sandells, Melody/0000-0002-4120-5163;</t>
  </si>
  <si>
    <t>1525-755X</t>
  </si>
  <si>
    <t>1525-7541</t>
  </si>
  <si>
    <t>J HYDROMETEOROL</t>
  </si>
  <si>
    <t>J. Hydrometeorol.</t>
  </si>
  <si>
    <t>10.1175/JHM528.1</t>
  </si>
  <si>
    <t>101QP</t>
  </si>
  <si>
    <t>WOS:000241755800004</t>
  </si>
  <si>
    <t>Kim, JH; Ahn, IY; Hong, SG; Andreev, M; Lim, KM; Oh, MJ; Koh, YJ; Hur, JS</t>
  </si>
  <si>
    <t>Kim, Ji Hee; Ahn, In-Young; Hong, Soon Gyu; Andreev, Mikhail; Lim, Kwang-Mi; Oh, Mi Jin; Koh, Young Jin; Hur, Jae-Seoun</t>
  </si>
  <si>
    <t>Lichen flora around the Korean Antarctic Scientific Station, King George Island, Antarctic</t>
  </si>
  <si>
    <t>JOURNAL OF MICROBIOLOGY</t>
  </si>
  <si>
    <t>Antarctic; lichens; flora; King George Island; KoLRI</t>
  </si>
  <si>
    <t>SOUTH SHETLAND-ISLANDS; WEST ANTARCTICA; SOILS</t>
  </si>
  <si>
    <t>As part of the long-term monitoring projects on Antarctic terrestrial vegetation in relation to global climate change, a lichen floristical survey was conducted around the Korean Antarctic Station (King Sejong Station), which is located on Barton Peninsula, King George Island, in January and February of 2006. Two hundred and twenty-five lichen specimens were collected and sixty-two lichen species in 38 genera were identified by morphological characteristics, chemical constituents, TLC analysis and ITS nucleotide sequence analysis.</t>
  </si>
  <si>
    <t>Sunchon Natl Univ, Korean Lichen Res Inst, Sunchon 540742, South Korea; KORDI, Korea Polar Res Inst, Seoul 425600, South Korea; VL Komarov Bot Inst, St Petersburg 197376, Russia</t>
  </si>
  <si>
    <t>Sunchon National University; Korea Polar Research Institute (KOPRI); Korea Institute of Ocean Science &amp; Technology (KIOST); Russian Academy of Sciences; Komarov Botanical Institute, Russian Academy of Sciences</t>
  </si>
  <si>
    <t>Hur, JS (corresponding author), Sunchon Natl Univ, Korean Lichen Res Inst, Sunchon 540742, South Korea.</t>
  </si>
  <si>
    <t>jshur1@sunchon.ac.kr</t>
  </si>
  <si>
    <t>Andreev, Mikhail P./U-9847-2017; Andreev, Mikhail P./JAC-9420-2023</t>
  </si>
  <si>
    <t>Andreev, Mikhail/0000-0002-5688-0751</t>
  </si>
  <si>
    <t>MICROBIOLOGICAL SOCIETY KOREA</t>
  </si>
  <si>
    <t>KOREA SCIENCE &amp; TECHNOLOGY CENTER 803, 635-4 YEOGSAM-DONG, KANGNAM-KU, SEOUL 135-703, SOUTH KOREA</t>
  </si>
  <si>
    <t>1225-8873</t>
  </si>
  <si>
    <t>1976-3794</t>
  </si>
  <si>
    <t>J MICROBIOL</t>
  </si>
  <si>
    <t>J. Microbiol.</t>
  </si>
  <si>
    <t>101CQ</t>
  </si>
  <si>
    <t>WOS:000241716900002</t>
  </si>
  <si>
    <t>Yabuki, T; Suga, T; Hanawa, K; Matsuoka, K; Kiwada, H; Watanabe, T</t>
  </si>
  <si>
    <t>Yabuki, Takashi; Suga, Toshio; Hanawa, Kimio; Matsuoka, Koji; Kiwada, Hiroshi; Watanabe, Tomowo</t>
  </si>
  <si>
    <t>Possible source of the antarctic bottom water in the Prydz Bay region</t>
  </si>
  <si>
    <t>JOURNAL OF OCEANOGRAPHY</t>
  </si>
  <si>
    <t>Antarctic Bottom Water; Prydz Bay; Amery Basin; JARPA; circumpolar deep; water; ice shelf water; XCTD; continental shelf; ice shelf</t>
  </si>
  <si>
    <t>WEDDELL SEA; SLOPE FRONT; OCEANOGRAPHY; CIRCULATION</t>
  </si>
  <si>
    <t>It has been inferred that the Prydz Bay region is one of the source regions of Antarctic Bottom Water (AABW) based on rather indirect evidence. In order to examine this inference, we investigate the hydrographic condition of the bay based mainly on XCTD data obtained during the Japanese Whale Research Program in the Antarctic (JARPA). The JARPA hydrographic data reveal Circumpolar Deep Water (CDW), which is a salty, warm water mass approaching the shelf break, and capture Modified CDW (MCDW) intruding into the shelf water. AABW production requires mixing of CDW and cold shelf water saltier than 34.6 psu, which is a saltier type of Low Salinity Shelf Water (LSSW). Saltier LSSW is observed near the bottom over the shelf, being mixed with MCDW. We further identify saltier LSSW near the shelf break. This saltier LSSW appears close enough to unmodified CDW to be mixed with it over the continental slope, indicating a possible source of AABW in Prydz Bay.</t>
  </si>
  <si>
    <t>Tohoku Univ, Dept Geophys, Grad Sch Sci, Sendai, Miyagi 9808578, Japan; Inst Cetacean Res, Tokyo 1040055, Japan; Natl Res Inst Fisheries Sci, Yokohama, Kanagawa 2368648, Japan</t>
  </si>
  <si>
    <t>Tohoku University; Japan Fisheries Research &amp; Education Agency (FRA)</t>
  </si>
  <si>
    <t>Yabuki, T (corresponding author), Tohoku Univ, Dept Geophys, Grad Sch Sci, Sendai, Miyagi 9808578, Japan.</t>
  </si>
  <si>
    <t>yabuki@pol.geophys.tohoku.ac.jp</t>
  </si>
  <si>
    <t>Suga, Toshio/C-2708-2009</t>
  </si>
  <si>
    <t>Suga, Toshio/0000-0003-4219-6155</t>
  </si>
  <si>
    <t>0916-8370</t>
  </si>
  <si>
    <t>J OCEANOGR</t>
  </si>
  <si>
    <t>J. Oceanogr.</t>
  </si>
  <si>
    <t>10.1007/s10872-006-0083-1</t>
  </si>
  <si>
    <t>079UJ</t>
  </si>
  <si>
    <t>WOS:000240203100005</t>
  </si>
  <si>
    <t>Endo, Y; Yamano, F</t>
  </si>
  <si>
    <t>Endo, Yoshinari; Yamano, Fuhito</t>
  </si>
  <si>
    <t>Diel vertical migration of Euphausia pacifica (Crustacea, Euphausiacea) in relation to molt and reproductive processes, and feeding activity</t>
  </si>
  <si>
    <t>DVM; molt cycle; maturity; feeding; Euphausia pacifica</t>
  </si>
  <si>
    <t>MEGANYCTIPHANES-NORVEGICA; ANTARCTIC KRILL; NORTHERN KRILL; NORTHEASTERN JAPAN; COASTAL WATERS; SUPERBA; GROWTH; ZOOPLANKTON; CYCLE</t>
  </si>
  <si>
    <t>We investigated the diel vertical migration of Euphausia pacifica in relation to molt and reproductive processes and feeding activity in April and September 2001 at fixed stations off northeastern Japan. The vertical distribution of this species was shallower in April than in September during both day and night, which was partly explained by a high surface temperature (19 degrees C) and the existence of a subsurface chlorophyll maximum in September. It has been demonstrated for the first time that diel vertical migration of this species is influenced by molt processes because upward migration of molting individuals was restricted compared with non-molting ones. Feeding activity of molting individuals was reduced throughout the day, being lower than or similar to the daytime feeding activity of non-molting ones. The percentage of molting individuals was least (2-4%) among the gravid females, which suggests that gravid females molt less frequently than other stages of females and males. Molt and reproductive processes therefore seemed to be coupled in this species.</t>
  </si>
  <si>
    <t>Tohoku Univ, Aquat Ecol Lab, Grad Sch Agr Sci, Sendai, Miyagi 9818555, Japan</t>
  </si>
  <si>
    <t>Tohoku University</t>
  </si>
  <si>
    <t>Endo, Y (corresponding author), Tohoku Univ, Aquat Ecol Lab, Grad Sch Agr Sci, Sendai, Miyagi 9818555, Japan.</t>
  </si>
  <si>
    <t>yendo@bios.tohoku.ac.jp</t>
  </si>
  <si>
    <t>10.1007/s10872-006-0087-x</t>
  </si>
  <si>
    <t>WOS:000240203100009</t>
  </si>
  <si>
    <t>Cessi, P; Young, WR; Polton, JA</t>
  </si>
  <si>
    <t>Cessi, Paola; Young, W. R.; Polton, Jeff A.</t>
  </si>
  <si>
    <t>Control of large-scale heat transport by small-scale mixing</t>
  </si>
  <si>
    <t>ANTARCTIC CIRCUMPOLAR CURRENT; EULERIAN-MEAN THEORY; POTENTIAL VORTICITY; OCEAN; EDDIES; MODEL; STRATIFICATION; FLUXES; HOMOGENIZATION; CIRCULATION</t>
  </si>
  <si>
    <t>The equilibrium of an idealized flow driven at the surface by wind stress and rapid relaxation to non-uniform buoyancy is analyzed in terms of entropy production, mechanical energy balance, and heat transport. The flow is rapidly rotating, and dissipation is provided by bottom drag. Diabatic forcing is transmitted from the surface by isotropic diffusion of buoyancy. The domain is periodic so that zonal averaging provides a useful decomposition of the flow into mean and eddy components. The statistical equilibrium is characterized by quantities such as the lateral buoyancy flux and the thermocline depth; here, scaling laws are proposed for these quantities in terms of the external parameters. The scaling theory predicts relations between heat transport, thermocline depth, bottom drag, and diapycnal diffusivity, which are confirmed by numerical simulations. The authors find that the depth of the thermocline is independent of the diapycnal mixing to leading order, but depends on the bottom drag. This dependence arises because the mean stratification is due to a balance between the large-scale wind-driven heat transport and the heat transport due to baroclinic eddies. The eddies equilibrate at an amplitude that depends to leading order on the bottom drag. The net poleward heat transport is a residual between the mean and eddy heat transports. The size of this residual is determined by the details of the diapycnal diffusivity. If the diffusivity is uniform (as in laboratory experiments) then the heat transport is linearly proportional to the diffusivity. If a mixed layer is incorporated by greatly increasing the diffusivity in a thin surface layer then the net heat transport is dominated by the model mixed layer.</t>
  </si>
  <si>
    <t>Cessi, P (corresponding author), Univ Calif San Diego, Scripps Inst Oceanog, 9500 Gilman Dr, La Jolla, CA 92093 USA.</t>
  </si>
  <si>
    <t>pcessi@ucsd.edu</t>
  </si>
  <si>
    <t>Polton, Jeff/M-4307-2013; Polton, Jeff/O-2289-2019; Young, William R/B-1632-2009</t>
  </si>
  <si>
    <t>Polton, Jeff/0000-0003-0131-5250; Polton, Jeff/0000-0003-0131-5250;</t>
  </si>
  <si>
    <t>10.1175/JPO2947.1</t>
  </si>
  <si>
    <t>098YF</t>
  </si>
  <si>
    <t>WOS:000241559000001</t>
  </si>
  <si>
    <t>Fuentes, V; Pagès, F</t>
  </si>
  <si>
    <t>Fuentes, Veronica; Pages, Francesc</t>
  </si>
  <si>
    <t>Description of Jubanyella plemmyris gen. nov et sp nov (Cnidaria: Hydrozoa: Narcomedusae) from a specimen stranded off Jubany Antarctic station, with a new diagnosis for the family Aeginidae</t>
  </si>
  <si>
    <t>EASTERN WEDDELL SEA; VERTICAL-DISTRIBUTION; ABUNDANCE; SIPHONOPHORES; MEDUSAE</t>
  </si>
  <si>
    <t>Jubanyella plemmyris, a new genus and species of aeginid narcomedusan, is described from one complete specimen stranded on Potter Cove beach, King George Island, Southern Ocean. The new genus and species is proposed in order to accommodate the specimen described in the family Aeginidae; Jubanyella gen. nov. contains undivided stomach pouches, therefore necessitating a new diagnosis for this family.</t>
  </si>
  <si>
    <t>Alfred Wegener Inst Polar &amp; Marine Res, D-27568 Bremerhaven, Germany; Univ Buenos Aires, Fac Ciencias Exactas &amp; Nat, RA-1428 Buenos Aires, DF, Argentina; CSIC, Inst Ciencias Mar, E-08003 Barcelona, Catalonia, Spain</t>
  </si>
  <si>
    <t>Helmholtz Association; Alfred Wegener Institute, Helmholtz Centre for Polar &amp; Marine Research; University of Buenos Aires; Consejo Superior de Investigaciones Cientificas (CSIC); CSIC - Centro Mediterraneo de Investigaciones Marinas y Ambientales (CMIMA); CSIC - Instituto de Ciencias del Mar (ICM)</t>
  </si>
  <si>
    <t>Fuentes, V (corresponding author), Alfred Wegener Inst Polar &amp; Marine Res, Columbusstr, D-27568 Bremerhaven, Germany.</t>
  </si>
  <si>
    <t>vfuentes@awi-bremerhaven.de</t>
  </si>
  <si>
    <t>Fuentes, Verónica L/K-7589-2014</t>
  </si>
  <si>
    <t>Fuentes, Verónica L/0000-0002-6380-0174</t>
  </si>
  <si>
    <t>10.1093/plankt/fbl025</t>
  </si>
  <si>
    <t>090DO</t>
  </si>
  <si>
    <t>WOS:000240931000007</t>
  </si>
  <si>
    <t>Turney, CSM; Haberle, S; Fink, D; Kershaw, AP; Barbetti, M; Barrows, TT; Black, M; Cohen, T; Corrège, T; Hesse, PP; Hua, Q; Johnston, R; Morgan, V; Moss, P; Nanson, G; Van Ommen, T; Rule, S; Williams, NJ; Zhao, JX; D'Costa, D; Feng, YX; Gagan, MK; Mooney, S; Xia, Q</t>
  </si>
  <si>
    <t>Turney, C. S. M.; Haberle, S.; Fink, D.; Kershaw, A. P.; Barbetti, M.; Barrows, T. T.; Black, M.; Cohen, T.; Correge, T.; Hesse, P. P.; Hua, Q.; Johnston, R.; Morgan, V.; Moss, P.; Nanson, G.; Van Ommen, T.; Rule, S.; Williams, N. J.; Zhao, J. -X.; D'Costa, D.; Feng, Y. -X.; Gagan, Michael K.; Mooney, S.; Xia, Q.</t>
  </si>
  <si>
    <t>Integration of ice-core, marine and terrestrial records for the Australian Last Glacial Maximum and Termination:: a contribution from the OZ INTIMATE group</t>
  </si>
  <si>
    <t>bipolar seesaw; high-precision radiocarbon dating; last glacial-interglacial transition (LGIT); Lateglacial Interstadial; thermohaline circulation; Younger Dryas Stadial</t>
  </si>
  <si>
    <t>SEA-SURFACE TEMPERATURES; SOUTHWEST PACIFIC-OCEAN; FRANZ-JOSEF-GLACIER; SOUTHERN-HEMISPHERE; CLIMATE-CHANGE; SIMPSON DESERT; NORTH-ATLANTIC; NEW-ZEALAND; OSCILLATION; ANTARCTICA</t>
  </si>
  <si>
    <t>The degree to which Southern Hemisphere climatic changes during the end of the last glacial period and early Holocene (30-8 ka) were influenced or initiated by events occurring in the high latitudes of the Northern Hemisphere is a complex issue. There is conflicting evidence for the degree of hemispheric 'teleconnection' and an unresolved debate as to the principle forcing mechanism(s). The available hypotheses are difficult to test robustly, however, because the few detailed palaeoclimatic records in the Southern Hemisphere are widely dispersed and lack duplication. Here we present climatic and environmental reconstructions from across Australia, a key region of the Southern Hemisphere because of the range of environments it covers and the potentially important role regional atmospheric and oceanic controls play in global climate change. We identify a general scheme of events for the end of the last glacial period and early Holocene but a detailed reconstruction proved problematic. Significant progress in climate quantification and geochronological control is now urgently required to robustly investigate change through this period. Copyright (c) 2006 John Wiley &amp; Sons, Ltd.</t>
  </si>
  <si>
    <t>Univ Wollongong, Sch Earth &amp; Environm Sci, GeoQuEST Res Ctr, Wollongong, NSW 2522, Australia; Australian Natl Univ, Res Sch Pacific &amp; Asian Studies, Canberra, ACT, Australia; Australian Nucl Sci &amp; Technol Org, Menai, NSW 2234, Australia; Monash Univ, Sch Geog &amp; Environm Sci, Ctr Palynol &amp; Palaeoecol, Clayton, Vic 3168, Australia; Univ Queensland, ACQUIRE, Brisbane, Qld, Australia; Australian Natl Univ, Res Sch Phys Sci &amp; Engn, Dept Nucl Phys, Canberra, ACT, Australia; Univ New S Wales, Sch Biol Earth &amp; Environm Sci, Kensington, NSW 2033, Australia; Univ Bordeaux 1, CNRS, UMR 5805, EPOC,Dept Geol &amp; Oceanog, F-33405 Talence, France; Macquarie Univ, Dept Phys Geog, N Ryde, NSW, Australia; Antarctic Climate &amp; Ecosyst CRC, Hobart, Tas, Australia; Australian Antarcic Div, Hobart, Tas, Australia; Univ Queensland, Sch Geog Planning &amp; Architecture, Brisbane, Qld, Australia; Univ Sydney, Sch Geosci, Sydney, NSW 2006, Australia; Univ Auckland, Sch Geog &amp; Environm Sci, Auckland 1, New Zealand; Australian Natl Univ, Res Sch Earth Sci, Canberra, ACT, Australia</t>
  </si>
  <si>
    <t>University of Wollongong; Australian National University; Australian Nuclear Science &amp; Technology Organisation; Monash University; University of Queensland; Australian National University; University of New South Wales Sydney; Universite de Bordeaux; Centre National de la Recherche Scientifique (CNRS); CNRS - National Institute for Earth Sciences &amp; Astronomy (INSU); Macquarie University; University of Tasmania; Australian Antarctic Division; University of Queensland; University of Sydney; University of Auckland; Australian National University</t>
  </si>
  <si>
    <t>Turney, CSM (corresponding author), Univ Wollongong, Sch Earth &amp; Environm Sci, GeoQuEST Res Ctr, Wollongong, NSW 2522, Australia.</t>
  </si>
  <si>
    <t>turney@uow.edu.au; michael.gagan@anu.edu.au</t>
  </si>
  <si>
    <t>fink, David/A-9518-2012; Moss, Patrick/AFM-9408-2022; Gagan, Michael K/L-5014-2018; IPO, PAGES/JXY-7546-2024; Haberle, Simon/U-4118-2019; Hua, Quan/F-9593-2014; Barrows, Timothy/A-1428-2008; Cohen, Tim J/A-7427-2012; Mooney, Scott/M-5192-2019; Zhao, Jian-xin/A-5938-2008; Barrows, Timothy T/E-8471-2011; Turney, Chris/P-8701-2018; van Ommen, Tas/B-5020-2012</t>
  </si>
  <si>
    <t>fink, David/0000-0001-7156-4602; Mooney, Scott/0000-0003-4449-5060; Cohen, Tim/0000-0003-4081-9523; Hesse, Paul/0000-0001-8709-2523; Haberle, Simon/0000-0001-5802-6535; Zhao, Jian-xin/0000-0002-2413-6178; Kershaw, Peter/0000-0002-9478-0567; Feng, Yue-Xing/0000-0002-2944-9632; Barrows, Timothy T/0000-0003-2614-7177; Moss, Patrick/0000-0003-1546-9242; Turney, Chris/0000-0001-6733-0993; van Ommen, Tas/0000-0002-2463-1718</t>
  </si>
  <si>
    <t>10.1002/jqs.1073</t>
  </si>
  <si>
    <t>101BE</t>
  </si>
  <si>
    <t>WOS:000241713100008</t>
  </si>
  <si>
    <t>Moy, AD; Howard, WR; Gagan, MK</t>
  </si>
  <si>
    <t>Moy, Andrew D.; Howard, William R.; Gagan, Michael K.</t>
  </si>
  <si>
    <t>Late Quaternary palaeoceanography of the Circumpolar Deep Water from the South Tasman Rise</t>
  </si>
  <si>
    <t>Circumpolar Deep Water; palaeoceanography; Southern Ocean; deep-water circulation; benthic foraminiferal stable isotopes</t>
  </si>
  <si>
    <t>RADIOCARBON AGE CALIBRATION; GLACIAL OCEAN CIRCULATION; ISOTOPIC COMPOSITION; CARBON-ISOTOPE; THERMOHALINE CIRCULATION; BOTTOM WATER; INDIAN-OCEAN; DELTA-C-13; PACIFIC; FRONTS</t>
  </si>
  <si>
    <t>We use sediment cores from the South Tasman Rise (STR) to reconstruct deep-water circulation in the southwest Pacific sector of the Southern Ocean. Sediment cores MD972106 (45 degrees 09' S, 146 degrees 17' E, 3310m water depth) and GC34 (45 degrees 06' S, 147 degrees 45' E, 4002m water depth) preserve records covering the last 160kyr, with chronology controlled by calibrated accelerator mass spectrometry radiocarbon dates and benthic foraminiferal delta O-18 tied to SPECMAP. The STIR benthic foraminiferal delta C-13 records provide new delta C-13 values for Southern Ocean deep water spanning the last 160 kyr at sites unlikely to be affected by variations in productivity. The records establish that glacial benthic foraminifera (Cibicidoides spp.) delta C-13 values are lower relative to interglacial values and are comparable to previous glacial benthic delta C-13 records in the Indian and Pacific sectors of the Southern Ocean. Comparisons of the benthic foraminiferal delta C-13 time series at the STIR are made with the equatorial Pacific (V19-30 and Site 846) and the equatorial Atlantic (GeoB1115). The similarity of benthic delta C-13 records at the STR to the equatorial Pacific suggest the Southern Ocean deep-water mass closely tracked those of the deep Pacific, and the presence of a delta C-13 gradient between the STIR and the equatorial Atlantic suggests there was continual production of northern source deep water over the past 160 k yr. Copyright (c) 2006 John Wiley &amp; Sons, Ltd.</t>
  </si>
  <si>
    <t>Univ Tasmania, Inst Antarctic &amp; So Ocean Studies, Hobart, Tas 7001, Australia; Univ Tasmania, Antarctic Climate &amp; Ecosyst Cooperat Res Ctr, Hobart, Tas 7001, Australia; Australian Natl Univ, Res Sch Earth Sci, Canberra, ACT, Australia</t>
  </si>
  <si>
    <t>University of Tasmania; University of Tasmania; Antarctic Climate &amp; Ecosystems Cooperative Research Centre (ACE CRC); Australian National University</t>
  </si>
  <si>
    <t>Moy, AD (corresponding author), Univ Tasmania, Inst Antarctic &amp; So Ocean Studies, Private Bag 77, Hobart, Tas 7001, Australia.</t>
  </si>
  <si>
    <t>andrew.moy@utas.edu.au; michael.gagan@anu.edu.au</t>
  </si>
  <si>
    <t>Gagan, Michael K/L-5014-2018; IPO, PAGES/JXY-7546-2024</t>
  </si>
  <si>
    <t>Moy, Andrew/0000-0002-7664-9960</t>
  </si>
  <si>
    <t>10.1002/jqs.1067</t>
  </si>
  <si>
    <t>WOS:000241713100009</t>
  </si>
  <si>
    <t>Mohan, R</t>
  </si>
  <si>
    <t>Mohan, Rahul</t>
  </si>
  <si>
    <t>'SCAR' Open Science Conference at Hobart, Australia</t>
  </si>
  <si>
    <t>Reprint</t>
  </si>
  <si>
    <t>Mohan, R (corresponding author), Natl Ctr Antarctic &amp; Ocean Res, Headland Sada, Goa 403804, India.</t>
  </si>
  <si>
    <t>118CX</t>
  </si>
  <si>
    <t>WOS:000242920800029</t>
  </si>
  <si>
    <t>Ríos, P; Cristobo, J</t>
  </si>
  <si>
    <t>Rios, Pilar; Cristobo, Javier</t>
  </si>
  <si>
    <t>A new species of Biemna (Porifera: Poecilosclerida) from Antarctica:: Biemna strongylota</t>
  </si>
  <si>
    <t>JOURNAL OF THE MARINE BIOLOGICAL ASSOCIATION OF THE UNITED KINGDOM</t>
  </si>
  <si>
    <t>A new species of Biemna, Biemna strongylota sp. Nov. is described from Antarctica. The new species is compared to other Antarctic species of Biemna, B. chilensis and B. macrorhaphis from which it differs in that it possesses strongyle megascleres, instead of styles, and of the microsclere complement which includes microxeas, raphides and two categories of sigmata.</t>
  </si>
  <si>
    <t>Univ Alcala de Henares, Dept Zool &amp; Antropol Fis, Madrid, Spain</t>
  </si>
  <si>
    <t>Universidad de Alcala</t>
  </si>
  <si>
    <t>Ríos, P (corresponding author), C-Maria 39,20, La Coruna 15624, Spain.</t>
  </si>
  <si>
    <t>pilar.rios.lopez@gmail.com; fjcristobo@yahoo.es</t>
  </si>
  <si>
    <t>Rios, Pilar/L-1293-2014; Cristobo, Javier/M-1949-2014</t>
  </si>
  <si>
    <t>Rios, Pilar/0000-0001-9710-9114;</t>
  </si>
  <si>
    <t>0025-3154</t>
  </si>
  <si>
    <t>1469-7769</t>
  </si>
  <si>
    <t>J MAR BIOL ASSOC UK</t>
  </si>
  <si>
    <t>J. Mar. Biol. Assoc. U.K.</t>
  </si>
  <si>
    <t>10.1017/S0025315406013919</t>
  </si>
  <si>
    <t>095MD</t>
  </si>
  <si>
    <t>WOS:000241311000004</t>
  </si>
  <si>
    <t>Hajdu, E; Desqueyroux-Faúndez, R; Willenz, P</t>
  </si>
  <si>
    <t>Hajdu, Eduardo; Desqueyroux-Faundez, Ruth; Willenz, Philippe</t>
  </si>
  <si>
    <t>Clathria (Cornulotrocha) rosetafiordica sp nov from a south-east Pacific fjord (Chilean Patagonia) (Microcionidae: Poecilosclerida: Demosponglae: Porifera)</t>
  </si>
  <si>
    <t>This article reports on a new species originating from the northern Chilean fjord region, which argued for the resurrection of Cornulotrocha, here classified as a new subgenus of Clathria, for sponges with choanosomal acanthostyles, ectosomal quasidiactinal monactines and rosettes of palmate (an)isochelae. Clathria (Cornulotrocha) rosetafiordica sp. nov. was collected at 23 m depth at Quintupeu fjord (similar to 42 degrees S), and is unique within this very large genus, in possessing rosettes of palmate anisochelae. The new species is compared to the only other known Clathria (Cornulotrocha), viz. C (Cornulotrocha) cheliradians n. comb.; to the single other Clathria known with ainsochelae, viz C. (Thalysias) dubia; to other crustose Clathria from southern South America, the subantarctic and Antarctic areas; and also to other sponges bearing rosettes; and is considered clearly distinct from all. The phylogenetic significance of rosettes is discussed, a likely adaptive value being discarded in view of the variable location of such structures in the distinct poecilosclerid taxa in which they occur.</t>
  </si>
  <si>
    <t>Univ Fed Rio de Janeiro, Dept Invertebrates, Museo Nacl, BR-20940040 Rio De Janeiro, Brazil; Museum Hist Nat, CH-1211 Geneva 6, Switzerland; Royal Belgian Inst Nat Sci, Dept Invertebrates, Sect Malacol, B-1000 Brussels, Belgium</t>
  </si>
  <si>
    <t>Universidade Federal do Rio de Janeiro; Royal Belgian Institute of Natural Sciences</t>
  </si>
  <si>
    <t>Hajdu, E (corresponding author), Univ Fed Rio de Janeiro, Dept Invertebrates, Museo Nacl, Quinta Boa Vista S-N, BR-20940040 Rio De Janeiro, Brazil.</t>
  </si>
  <si>
    <t>hajdu@acd.ufrj.br; ruth.faundez@mhn.ville-ge.ch; philippe.willenz@naturalsciences.be</t>
  </si>
  <si>
    <t>Hajdu, Eduardo/C-3863-2009</t>
  </si>
  <si>
    <t>Hajdu, Eduardo/0000-0002-8760-9403</t>
  </si>
  <si>
    <t>10.1017/S0025315406013920</t>
  </si>
  <si>
    <t>WOS:000241311000005</t>
  </si>
  <si>
    <t>Oliveros, V; Féraud, G; Aguirre, L; Fornari, M; Morata, D</t>
  </si>
  <si>
    <t>Oliveros, Veronica; Feraud, Gilbert; Aguirre, Luis; Fornari, Michel; Morata, Diego</t>
  </si>
  <si>
    <t>The Early Andean Magmatic Province (EAMP):: 40Ar/39Ar dating on mesozoic volcanic and plutonic rocks from the Coastal Cordillera, northern Chile</t>
  </si>
  <si>
    <t>JOURNAL OF VOLCANOLOGY AND GEOTHERMAL RESEARCH</t>
  </si>
  <si>
    <t>40Ar39Ar; dating; volcanism; subduction; Andes</t>
  </si>
  <si>
    <t>ATACAMA FAULT ZONE; ANTARCTIC PENINSULA; BREAK-UP; ARC; DEFORMATION; PATAGONIA; AGE; PALEOMAGNETISM; SYSTEMS; ARICA</t>
  </si>
  <si>
    <t>The Early Andean Magmatic Province (EAMP), consists of about 150000 km(3) of volcanic and platonic units in the Coastal Cordillera of northern Chile and southern Peru and represents a major magmatic Mesozoic event in the world, for which the precise age of the thick volcanic series was unknown. Thirty 40Ar/39Ar analyses were carried out on primary mineral phases of volcanic and plutonic rocks from northern Chile (18 degrees 30'-24 degrees S). Reliable plateau and mini plateau ages were obtained on plagioclase, amphibole and biotite from volcanic and plutonic rocks, despite widespread strong alteration degree. In the Arica, Tocopilla and Antofagasta (700 km apart) regions, the ages obtained on lava flows constrain the volcanic activity between 164 and 150 Ma and no N-S migration of volcanism is observed. The uppermost lava flows of the volcanic sequence at the type locality of the La Negra Formation extruded at ca. 153-150 Ma, suggesting the end of the volcanic activity of the arc at that time. The oldest volcanic activ The plutonic bodies of the same regions were dated between ca. 160 and 142 Ma, indicating that they were partly contemporaneous with the volcanic activity. At least one volcanic pulse around 160 Ma is evidenced over the entire investigated reach of the EAMP, according to the ages found in Arica, Tocopilla, Michilla and Mantos Blancos regions. The episodic emplacement of huge amounts of subduction related volcanism is observed throughout the whole Andean history and particularly during the Jurassic (southern Peru, northern Chile and southern Argentina). These events probably correspond to periodic extensional geodynamic episodes, as a consequence of particular subduction conditions, such as change of obliquity of the convergence, change in the subduction angle, slab roll back effect or lower convergence rate, that remain to be precisely defined: (c) 2006 Elsevier B.V. All rights reserved. The Early Andean Magmatic Province (EAMP), consists of about 150000 km(3) of volcanic and platonic units in the Coastal Cordillera of northern Chile and southern Peru and represents a major magmatic Mesozoic event in the world, for which the precise age of the thick volcanic series was unknown. Thirty 40Ar/39Ar analyses were carried out on primary mineral phases of volcanic and plutonic rocks from northern Chile (18 degrees 30'-24 degrees S). Reliable plateau and mini plateau ages were obtained on plagioclase, amphibole and biotite from volcanic and plutonic rocks, despite widespread strong alteration degree. In the Arica, Tocopilla and Antofagasta (700 km apart) regions, the ages obtained on lava flows constrain the volcanic activity between 164 and 150 Ma and no N-S migration of volcanism is observed. The uppermost lava flows of the volcanic sequence at the type locality of the La Negra Formation extruded at ca. 153-150 Ma, suggesting the end of the volcanic activity of the arc at that time. The oldest volcanic activ The plutonic bodies of the same regions were dated between ca. 160 and 142 Ma, indicating that they were partly contemporaneous with the volcanic activity. At least one volcanic pulse around 160 Ma is evidenced over the entire investigated reach of the EAMP, according to the ages found in Arica, Tocopilla, Michilla and Mantos Blancos regions. The episodic emplacement of huge amounts of subduction related volcanism is observed throughout the whole Andean history and particularly during the Jurassic (southern Peru, northern Chile and southern Argentina). These events probably correspond to periodic extensional geodynamic episodes, as a consequence of particular subduction conditions, such as change of obliquity of the convergence, change in the subduction angle, slab roll back effect or lower convergence rate, that remain to be precisely defined: (c) 2006 Elsevier B.V. All rights reserved. The Early Andean Magmatic Province (EAMP), consists of about 150000 km(3) of volcanic and platonic units in the Coastal Cordillera of northern Chile and southern Peru and represents a major magmatic Mesozoic event in the world, for which the precise age of the thick volcanic series was unknown. Thirty 40Ar/39Ar analyses were carried out on primary mineral phases of volcanic and plutonic rocks from northern Chile (18 degrees 30'-24 degrees S). Reliable plateau and mini plateau ages were obtained on plagioclase, amphibole and biotite from volcanic and plutonic rocks, despite widespread strong alteration degree. In the Arica, Tocopilla and Antofagasta (700 km apart) regions, the ages obtained on lava flows constrain the volcanic activity between 164 and 150 Ma and no N-S migration of volcanism is observed. The uppermost lava flows of the volcanic sequence at the type locality of the La Negra Formation extruded at ca. 153-150 Ma, suggesting the end of the volcanic activity of the arc at that time. The oldest volcanic activ The plutonic bodies of the same regions were dated between ca. 160 and 142 Ma, indicating that they were partly contemporaneous with the volcanic activity. At least one volcanic pulse around 160 Ma is evidenced over the entire investigated reach of the EAMP, according to the ages found in Arica, Tocopilla, Michilla and Mantos Blancos regions. The episodic emplacement of huge amounts of subduction related volcanism is observed throughout the whole Andean history and particularly during the Jurassic (southern Peru, northern Chile and southern Argentina). These events probably correspond to periodic extensional geodynamic episodes, as a consequence of particular subduction conditions, such as change of obliquity of the convergence, change in the subduction angle, slab roll back effect or lower convergence rate, that remain to be precisely defined: (c) 2006 Elsevier B.V. All rights reserved. The Early Andean Magmatic Province (EAMP), consists of about 150000 km(3) of volcanic and platonic units in the Coastal Cordillera of northern Chile and southern Peru and represents a major magmatic Mesozoic event in the world, for which the precise age of the thick volcanic series was unknown. Thirty 40Ar/39Ar analyses were carried out on primary mineral phases of volcanic and plutonic rocks from northern Chile (18 degrees 30'-24 degrees S). Reliable plateau and mini plateau ages were obtained on plagioclase, amphibole and biotite from volcanic and plutonic rocks, despite widespread strong alteration degree. In the Arica, Tocopilla and Antofagasta (700 km apart) regions, the ages obtained on lava flows constrain the volcanic activity between 164 and 150 Ma and no N-S migration of volcanism is observed. The uppermost lava flows of the volcanic sequence at the type locality of the La Negra Formation extruded at ca. 153-150 Ma, suggesting the end of the volcanic activity of the arc at that time. The oldest volcanic activ The plutonic bodies of the same regions were dated between ca. 160 and 142 Ma, indicating that they were partly contemporaneous with the volcanic activity. At least one volcanic pulse around 160 Ma is evidenced over the entire investigated reach of the EAMP, according to the ages found in Arica, Tocopilla, Michilla and Mantos Blancos regions. The episodic emplacement of huge amounts of subduction related volcanism is observed throughout the whole Andean history and particularly during the Jurassic (southern Peru, northern Chile and southern Argentina). These events probably correspond to periodic extensional geodynamic episodes, as a consequence of particular subduction conditions, such as change of obliquity of the convergence, change in the subduction angle, slab roll back effect or lower convergence rate, that remain to be precisely defined: (c) 2006 Elsevier B.V. All rights reserved.</t>
  </si>
  <si>
    <t>Univ Chile, Dept Geol, Santiago 21, Chile; Univ Nice, CNRS, UMR Geosci Azur 6526, IRD, F-06108 Nice 02, France</t>
  </si>
  <si>
    <t>Universidad de Chile; Universite Cote d'Azur; Centre National de la Recherche Scientifique (CNRS); Institut de Recherche pour le Developpement (IRD)</t>
  </si>
  <si>
    <t>Oliveros, V (corresponding author), Univ Chile, Dept Geol, Casilla 13518, Santiago 21, Chile.</t>
  </si>
  <si>
    <t>volivero@ing.uchile.cl</t>
  </si>
  <si>
    <t>Oliveros, Veronica/W-5294-2019; Morata, Diego/G-4871-2016</t>
  </si>
  <si>
    <t>Oliveros, Veronica/0000-0002-9455-7736; Morata, Diego/0000-0002-9751-2429</t>
  </si>
  <si>
    <t>0377-0273</t>
  </si>
  <si>
    <t>1872-6097</t>
  </si>
  <si>
    <t>J VOLCANOL GEOTH RES</t>
  </si>
  <si>
    <t>J. Volcanol. Geotherm. Res.</t>
  </si>
  <si>
    <t>10.1016/j.jvolgeores.2006.04.007</t>
  </si>
  <si>
    <t>092HP</t>
  </si>
  <si>
    <t>WOS:000241087900003</t>
  </si>
  <si>
    <t>Collins, KT; Terhune, JM; Rogers, TL; Wheatley, KE; Harcourt, RG</t>
  </si>
  <si>
    <t>Collins, Kym T.; Terhune, John M.; Rogers, Tracey L.; Wheatley, Kathryn E.; Harcourt, Robert G.</t>
  </si>
  <si>
    <t>Vocal individuality of in-air weddell seal (Leptonychotes weddellii) pup primary calls</t>
  </si>
  <si>
    <t>MARINE MAMMAL SCIENCE</t>
  </si>
  <si>
    <t>vocal individuality; pup calls; Weddell seal; Leptonychotes weddellii</t>
  </si>
  <si>
    <t>PHOCA-VITULINA; MCMURDO-SOUND; MATERNAL RECOGNITION; HALICHOERUS-GRYPUS; VESTFOLD HILLS; HARP SEALS; VOCALIZATIONS; MOTHER; ANTARCTICA; GROENLANDICA</t>
  </si>
  <si>
    <t>As a result of selective pressures faced during lactation, vocal recognition may play a crucial role in maintaining the phocid mother-pup bond during the period of dependence. To investigate this possibility, we examined whether Weddell seal (Leptonychotes weddellii) pups produce individually distinctive primary calls. One temporal, nine fundamental frequency features, and two spectral characteristics were measured. A discriminant function analysis (DFA) of 15 Vestfold Hills pups correctly classified 52% of calls, while the cross-validation procedure classified 29% of calls to the correct pup. A second DFA of 10 known-age McMurdo Sound pups correctly classified 44% of test calls. For novel calls, the probabilities of attaining such classification rates by chance are low. The relationship between age and call stereotypy indicated that pups 2 wk and older may be more vocally distinctive. Overall, findings suggest that Weddell seal pup primary calls are moderately distinctive and only exhibit sufficient stereotypy to aid maternal recognition by approximately two weeks of age.</t>
  </si>
  <si>
    <t>Australian Marine Mammal Res Ctr, Zool Pk Board NSW, Mosman, NSW 2088, Australia; Univ Sydney, Fac Vet Sci, Sydney, NSW 2006, Australia; Univ New Brunswick, Dept Biol, St John, NB E2L 4L5, Canada; Univ Tasmania, Sch Zool, Antarctic Wildlife Res Unit, Hobart, Tas 7001, Australia; Macquarie Univ, Marine Mammal Res Grp, Grad Sch Environm, N Ryde, NSW 2109, Australia</t>
  </si>
  <si>
    <t>University of Sydney; University of New Brunswick; University of Tasmania; Macquarie University</t>
  </si>
  <si>
    <t>Collins, KT (corresponding author), Australian Marine Mammal Res Ctr, Zool Pk Board NSW, POB 20, Mosman, NSW 2088, Australia.</t>
  </si>
  <si>
    <t>kym_collins77@hotmail.com</t>
  </si>
  <si>
    <t>Rogers, Tracey L/C-3419-2008</t>
  </si>
  <si>
    <t>Rogers, Tracey/0000-0002-7141-4177; Terhune, John/0000-0002-2661-7389; Harcourt, Robert/0000-0003-4666-2934</t>
  </si>
  <si>
    <t>0824-0469</t>
  </si>
  <si>
    <t>MAR MAMMAL SCI</t>
  </si>
  <si>
    <t>Mar. Mamm. Sci.</t>
  </si>
  <si>
    <t>10.1111/j.1748-7692.2006.00074.x</t>
  </si>
  <si>
    <t>086GY</t>
  </si>
  <si>
    <t>WOS:000240663000010</t>
  </si>
  <si>
    <t>Garvin, JB; Head, JW; Marchant, DR; Kreslavsky, MA</t>
  </si>
  <si>
    <t>Garvin, James B.; Head, James W.; Marchant, David R.; Kreslavsky, Mikhail A.</t>
  </si>
  <si>
    <t>High-latitude cold-based glacial deposits on Mars:: Multiple superposed drop moraines in a crater interior at 70°N latitude</t>
  </si>
  <si>
    <t>Workshop on the Role of Volatiles and Atmospheres on Martian Impact Craters</t>
  </si>
  <si>
    <t>JUL 11-14, 2005</t>
  </si>
  <si>
    <t>Johns Hopkins Univ Appl Phys Lab, Baltimore, MD</t>
  </si>
  <si>
    <t>Johns Hopkins Univ Appl Phys Lab</t>
  </si>
  <si>
    <t>ORBITER LASER ALTIMETER; TAYLOR GLACIER; CLIMATE-CHANGE; ICE-SHEET; OBLIQUITY; FLOW; ANTARCTICA; EVOLUTION; SURFACE; VALLEY</t>
  </si>
  <si>
    <t>An impact crater 26.8 km in diameter, located in the northern lowlands (70.32 degrees N, 266.45 degrees E) at the base of the flanking slopes of the shield volcano Alba Patera, is characterized by highly unusual deposits on its southeastern floor and interior walls and on its southeastern rim. These include multiple generations of distinctive arcuate ridges about 115-240 m in width and lobate deposits extending down the crater wall and across the crater floor, forming a broad, claw-like, ridged deposit around the central peak. Unusual deposits on the eastern and southeastern crater rim include frost, dunes, and a single distal arcuate ridge. Based on their morphology and geometric relationships, and terrestrial analogs from the Mars-like Antarctic Dry Valleys, the floor ridges are interpreted to represent drop moraines, remnants of the previous accumulation of snow and ice, and formation of cold-based glaciers on the crater rim. The configuration and superposition of the ridges indicate that the accumulated snow and ice formed glaciers that flowed down into the crater and across the crater floor, stabilized, covering an area of about 150 km(2), and produced multiple individual drop moraines due to fluctuation in the position of the stable glacier front. Superposition of a thin mantle and textures attributed to a recent ice-age period (similar to 0.5-2 Myr ago) suggest that the glacial deposits date to at least 4-10 Myr before the present. At least five phases of advance and retreat are indicated by the stratigraphic relationships, and these may be related to obliquity excursions. These deposits are in contrast to other ice-related modification and degradation processes typical of craters in the nor-them lowlands, and may be related to the distinctive position of this crater in the past atmospheric circulation pattern, leading to sufficient preferential local accumulation of snow and ice to cause glacial flow.</t>
  </si>
  <si>
    <t>Brown Univ, Dept Geol Sci, Providence, RI 02912 USA; NASA Headquarters, Washington, DC 20546 USA; Boston Univ, Dept Earth Sci, Boston, MA 02215 USA; Kharkov Astron Inst, UA-61022 Kharkov, Ukraine</t>
  </si>
  <si>
    <t>Brown University; National Aeronautics &amp; Space Administration (NASA); Mary W. Jackson NASA Headquarters; Boston University</t>
  </si>
  <si>
    <t>Head, JW (corresponding author), Brown Univ, Dept Geol Sci, Providence, RI 02912 USA.</t>
  </si>
  <si>
    <t>James_Head@brown.edu</t>
  </si>
  <si>
    <t>Kreslavsky, Mikhail/J-3425-2013</t>
  </si>
  <si>
    <t>Garvin, James/0000-0003-1606-5645; Kreslavsky, Mikhail/0000-0002-1900-826X</t>
  </si>
  <si>
    <t>10.1111/j.1945-5100.2006.tb00443.x</t>
  </si>
  <si>
    <t>098NV</t>
  </si>
  <si>
    <t>WOS:000241530500018</t>
  </si>
  <si>
    <t>Powell, SM; Ferguson, SH; Bowman, JP; Snape, I</t>
  </si>
  <si>
    <t>Powell, Shane M.; Ferguson, Susan H.; Bowman, John P.; Snape, Ian</t>
  </si>
  <si>
    <t>Using real-time PCR to assess changes in the hydrocarbon-degrading microbial community in Antarctic soil during bioremediation</t>
  </si>
  <si>
    <t>POLYMERASE-CHAIN-REACTION; ENVIRONMENTAL-SAMPLES; GENES; QUANTIFICATION; DEGRADATION; BACTERIA; CLONING; MICROORGANISMS; ENUMERATION; OXIDATION</t>
  </si>
  <si>
    <t>A real-time polymerase chain reaction (PCR) method to quantify the proportion of microorganisms containing alkane monooxygenase was developed and used to follow changes in the microbial community in hydrocarbon-contaminated Antarctic soil during a bioremediation field trial. Assays for the alkB and rpoB genes were validated and found to be both sensitive and reproducible (less than 2% intrarun variation and 25-38% interrun variation). Results from the real-time PCR analysis were compared to analysis of the microbial population by a culture-based technique [most probable number (MPN) counts]. Both types of analysis indicated that fertilizer addition to hydrocarbon-contaminated soil stimulated the indigenous bacterial population within 1 year. The proportion of alkB containing microorganisms was positively correlated to the concentration of n-alkanes in the soil. After the concentration of n-alkanes in the soil decreased, the proportion of alkane-degrading microorganisms decreased, but the proportion of total hydrocarbon-degrading microorganisms increased, indicating another shift in the microbial community structure and ongoing biodegradation.</t>
  </si>
  <si>
    <t>Univ Tasmania, Tasmanian Inst Agr Res, Hobart, Tas 7001, Australia; Australian Antarctic Div, Dept Heritage &amp; Environm, Kingston, Tas 7050, Australia</t>
  </si>
  <si>
    <t>Powell, SM (corresponding author), Univ Tasmania, Tasmanian Inst Agr Res, Hobart, Tas 7001, Australia.</t>
  </si>
  <si>
    <t>shane.powell@aad.gov.au</t>
  </si>
  <si>
    <t>Bowman, John P/C-2414-2014; Bowman, John P./ABF-5108-2020; Powell, Shane M/C-2391-2014</t>
  </si>
  <si>
    <t>Bowman, John P/0000-0002-4528-9333; Bowman, John P./0000-0002-4528-9333; Powell, Shane/0000-0001-5082-1630</t>
  </si>
  <si>
    <t>10.1007/s00248-006-9131-z</t>
  </si>
  <si>
    <t>111PE</t>
  </si>
  <si>
    <t>WOS:000242464700017</t>
  </si>
  <si>
    <t>Lancaster, ML; Gemmell, NJ; Negro, S; Goldsworthy, S; Sunnucks, P</t>
  </si>
  <si>
    <t>Lancaster, M. L.; Gemmell, N. J.; Negro, S.; Goldsworthy, S.; Sunnucks, P.</t>
  </si>
  <si>
    <t>Menage a trois on Macquarie Island:: hybridization among three species of fur seal (Arctocephalus spp.) following historical population extinction</t>
  </si>
  <si>
    <t>Arctocephalus; backcross; fur seal; hybridization; introgression</t>
  </si>
  <si>
    <t>PRINCE-EDWARD-ISLANDS; PHOCA-VITULINA; MICROSATELLITE MARKERS; HALICHOERUS-GRYPUS; GENETIC-MARKERS; HYBRID; MITOCHONDRIAL; PATERNITY; LOCI; DNA</t>
  </si>
  <si>
    <t>Human-induced changes to natural systems can cause major disturbances to fundamental ecological and population processes and result in local extinctions and secondary contacts between formerly isolated species. Extensive fur seal harvesting during the nineteenth century on Macquarie Island (subantarctic) resulted in extinction of the original population. Recolonization by three species has been slow and complex, characterized by the establishment of breeding groups of Antarctic and subantarctic fur seals (Arctocephalus gazella and Arctocephalus tropicalis) and presumed nonbreeding (itinerant) male New Zealand fur seals (Arctocephalus forsteri). One thousand and seven pups from eight annual cohorts (1992-2003) were analysed using mitochondrial control region data (RFLP) and 10 microsatellite loci to estimate species composition and hybridization. Antarctic fur seals predominated, but hybridization occurred between all three species (17-30% of all pups). Involvement of New Zealand fur seals was unexpected as females are absent and males are not observed to hold territories during the breeding season. The proportion of hybrids in the population has fallen over time, apparently owing to substantial influxes of pure Antarctic and subantarctic individuals and non-random mating. Over 50% of New Zealand hybrids and 43% of Antarctic-subantarctic hybrids were not F-1, which indicates some degree of hybrid reproductive success, and this may be underestimated: simulations showed that hybrids become virtually undetectable by the third generation of backcrossing. While human impacts seem to have driven novel hybridization in this population, the present 'time slices' analysis suggests some biological resistance to complete homogenization.</t>
  </si>
  <si>
    <t>La Trobe Univ, Dept Zool, Bundoora, Vic 3083, Australia; Univ Canterbury, Sch Biol Sci, Canterbury, New Zealand; Monash Univ, Clayton, Vic 3168, Australia</t>
  </si>
  <si>
    <t>La Trobe University; University of Canterbury; Monash University</t>
  </si>
  <si>
    <t>Lancaster, ML (corresponding author), La Trobe Univ, Dept Zool, Bundoora, Vic 3083, Australia.</t>
  </si>
  <si>
    <t>melanie.lancaster@sci.monash.edu.au</t>
  </si>
  <si>
    <t>; Gemmell, Neil/C-6774-2009</t>
  </si>
  <si>
    <t>Sunnucks, Paul/0000-0002-8139-7059; Goldsworthy, Simon/0000-0003-4988-9085; Gemmell, Neil/0000-0003-0671-3637</t>
  </si>
  <si>
    <t>10.1111/j.1365-294X.2006.03041.x</t>
  </si>
  <si>
    <t>093GX</t>
  </si>
  <si>
    <t>WOS:000241157400015</t>
  </si>
  <si>
    <t>Hoffman, JI; Trathan, PN; Amos, W</t>
  </si>
  <si>
    <t>Hoffman, J. I.; Trathan, P. N.; Amos, W.</t>
  </si>
  <si>
    <t>Genetic tagging reveals extreme site fidelity in territorial male Antarctic fur seals Arctocephalus gazella</t>
  </si>
  <si>
    <t>genetic tracking; microsatellite; territory; site faithfulness; mating system; resource-defence polygyny; prior residence; male-male competition; dear enemy; genetic structure; pinniped</t>
  </si>
  <si>
    <t>PRIOR RESIDENCE; MICROSATELLITE VARIATION; HALICHOERUS-GRYPUS; POPULATION-SIZE; BIRD ISLAND; HARBOR SEAL; SUCCESS; CONSEQUENCES; STRATEGIES; TRACKING</t>
  </si>
  <si>
    <t>Genetic tagging, the identification of individuals using their genotypes, provides a powerful tool for studying animals that are difficult to observe or identify using conventional techniques. However, despite being widely adopted by conservation biologists, the full potential of this approach has yet to be realized. Here we used genetic recapture data to quantify male site fidelity at a colony of Antarctic fur seals where an aerial walkway provides unprecedented access and individual positions are determined daily to 1 m accuracy. Because males are too large and aggressive to be captured and fitted with conventional tags, we remotely collected 770 tissue samples over eight consecutive seasons and used nine-locus microsatellite genotypes to reveal 306 genetic recaptures among 464 unique individuals. Within seasons, males are highly site-faithful, with any movements that occur tending to take place before the period when females come into oestrus. Of those males that return to breed over successive seasons, almost half return to within a body length of where they were before. The discovery of such extreme site faithfulness has implications for the population structure and mating system of fur seals and potentially other colonially breeding species.</t>
  </si>
  <si>
    <t>Univ Cambridge, Dept Zool, Cambridge CB2 3EJ, England; British Antarctic Survey, NERC, Cambridge CB3 0ET, England</t>
  </si>
  <si>
    <t>University of Cambridge; UK Research &amp; Innovation (UKRI); Natural Environment Research Council (NERC); NERC British Antarctic Survey</t>
  </si>
  <si>
    <t>Hoffman, JI (corresponding author), Univ Cambridge, Dept Zool, Downing St, Cambridge CB2 3EJ, England.</t>
  </si>
  <si>
    <t>jih24@cam.ac.uk</t>
  </si>
  <si>
    <t>Hoffman, Joseph/K-7725-2012</t>
  </si>
  <si>
    <t>Hoffman, Joseph/0000-0001-5895-8949</t>
  </si>
  <si>
    <t>10.1111/j.1365-294X.2006.03053.x</t>
  </si>
  <si>
    <t>WOS:000241157400028</t>
  </si>
  <si>
    <t>Fernández-Riestra, FA; Garcés, C; Lahoz, C; Lasunción, MA; Castilla, P; Viturro, E; Cano, B; De Oya, M</t>
  </si>
  <si>
    <t>Fernandez-Riestra, Francisco A.; Garces, Carmen; Lahoz, Carlos; Lasuncion, Miguel A.; Castilla, Patricia; Viturro, Enrique; Cano, Beatriz; De Oya, Manuel</t>
  </si>
  <si>
    <t>Metabolic adaptation in the crew of the Hesperides on their Antarctic journey</t>
  </si>
  <si>
    <t>NUTRITION METABOLISM AND CARDIOVASCULAR DISEASES</t>
  </si>
  <si>
    <t>vitamins; polar T3 syndrome; HDL-cholesterol; diet; physical activity</t>
  </si>
  <si>
    <t>RESIDENCE; EXERCISE; PLASMA</t>
  </si>
  <si>
    <t>Aims: We studied the metabolic changes that took place in the crew of the Hesperides vessel in their 2001-2002 Antarctic journey, comparing two periods differing in diet and physical activity. Methods and results: Lipid profile, vitamin and hormone levels were analyzed in 17 subjects who completed the study in its two phases. In phase I the participants spent 47 days sailing with hard work and rough seas, and the diet was rich in fat and poor in fresh foods. In this phase, glucose decreased and HDL-cholesterol, apo-AI, and TSH increased. Plasma retinol and alpha-tocopherol levels remained stable, gamma-tocopherol, alpha-carotene and beta-carotene significantly decreased, and lycopene significantly increased. Phase II lasted 49 days including a 7-day long stop in port. This meant that a more varied diet was available and fresh foods were present in the hold. There was also less extreme physical activity. The metabolic pattern changed direction, glucose rose, HDL-cholesterol and apo-AI decreased and the levels of the vitamins that dropped in phase I started to increase. Lycopene significantly decreased. Conclusion: Contrary to popular beliefs about navigation at extreme latitudes, the metabolic changes described may be explained by the intense physical activity in a cold environment and a high-fat diet poor in fresh products. (C) 2005 Elsevier B.V. All rights reserved.</t>
  </si>
  <si>
    <t>Univ Autonoma Madrid, Fdn Jimenez Diaz, Unidad Lipidos, Madrid 28040, Spain; Univ Europea Madrid, Dept Especial Med, Madrid, Spain; Inst Salud Carlos III, Madrid, Spain; Hosp Ramon &amp; Cajal, Serv Bioquim Invest, E-28034 Madrid, Spain; Univ Alcala De Henares, Dept Bioquim &amp; Biol Mol, Alcala De Henares, Spain</t>
  </si>
  <si>
    <t>Autonomous University of Madrid; European University of Madrid; Instituto de Salud Carlos III; Hospital Universitario Ramon y Cajal; Universidad de Alcala</t>
  </si>
  <si>
    <t>De Oya, M (corresponding author), Univ Autonoma Madrid, Fdn Jimenez Diaz, Unidad Lipidos, Avda Reyes Catolicos 2, Madrid 28040, Spain.</t>
  </si>
  <si>
    <t>moya@fjd.es</t>
  </si>
  <si>
    <t>Lasuncion, Miguel A./K-6167-2014</t>
  </si>
  <si>
    <t>Lasuncion, Miguel A./0000-0003-0299-9391; Lahoz, Carlos/0000-0001-5690-7558; Garces, Carmen/0000-0002-1099-2061</t>
  </si>
  <si>
    <t>0939-4753</t>
  </si>
  <si>
    <t>1590-3729</t>
  </si>
  <si>
    <t>NUTR METAB CARDIOVAS</t>
  </si>
  <si>
    <t>Nutr. Metab. Carbiovasc. Dis.</t>
  </si>
  <si>
    <t>10.1016/j.numecd.2005.10.006</t>
  </si>
  <si>
    <t>Cardiac &amp; Cardiovascular Systems; Endocrinology &amp; Metabolism; Nutrition &amp; Dietetics</t>
  </si>
  <si>
    <t>Cardiovascular System &amp; Cardiology; Endocrinology &amp; Metabolism; Nutrition &amp; Dietetics</t>
  </si>
  <si>
    <t>108VY</t>
  </si>
  <si>
    <t>WOS:000242268500007</t>
  </si>
  <si>
    <t>Souto, DPF; Catalano, SA; Tosto, D; Bernasconi, P; Sala, A; Wagner, M; Corach, D</t>
  </si>
  <si>
    <t>Fernandez Souto, D. P.; Catalano, S. A.; Tosto, D.; Bernasconi, P.; Sala, A.; Wagner, M.; Corach, D.</t>
  </si>
  <si>
    <t>Phylogenetic relationships of Deschampsia antarctica (Poaceae):: Insights from nuclear ribosomal ITS</t>
  </si>
  <si>
    <t>PLANT SYSTEMATICS AND EVOLUTION</t>
  </si>
  <si>
    <t>Deschampsia antarctica; phylogenetics; 5.8S; ITS; sequence; Poaceae; Aveneae</t>
  </si>
  <si>
    <t>INTERNAL TRANSCRIBED SPACER; MOLECULAR PHYLOGENY; REGION; GENE; SEQUENCES; RDNA; DNA</t>
  </si>
  <si>
    <t>Deschampsia antarctica E. Desv. is the only monocot in the Antarctic floristic zone. We evaluated the phylogenetic relationships of Deschampsia antarctica to other grasses using parsimony as the optimality criterion. Five different sets of gap, transversion and transitions costs were explored to analyze the effect of parameter choice on the phylogenetic results. Both internal transcribed spacers (ITS1 and ITS2) and the 5.8S subunit of nuclear ribosomal DNA were included in the analysis. A total of 43 species were analyzed including seven species of Deschampsia. Deschampsia antarctica forms a well supported group with five species of Deschampsia. Deschampsia does not appear monophyletic as D. flexuosa (L.) Trin. is not included in this clade. The clade to which D. antarctica belongs is sister to some Aveneae in all analyses. This study is the first contribution that evaluates the phylogenetic position of D. antarctica in relation to other species of Deschampsia.</t>
  </si>
  <si>
    <t>Univ Buenos Aires, Serv Huellas Digitales Genet, Buenos Aires, DF, Argentina; Univ Buenos Aires, Catedra Genet &amp; Biol Mol, Buenos Aires, DF, Argentina; Inst Fitotecn Santa Catalina, Buenos Aires, DF, Argentina; Univ Buenos Aires, Catedra Farmaco Bot, Buenos Aires, DF, Argentina</t>
  </si>
  <si>
    <t>University of Buenos Aires; University of Buenos Aires; University of Buenos Aires</t>
  </si>
  <si>
    <t>Souto, DPF (corresponding author), Univ Buenos Aires, Serv Huellas Digitales Genet, Buenos Aires, DF, Argentina.</t>
  </si>
  <si>
    <t>dfsouto@yahoo.com; shdg@ffyb.uba.ar</t>
  </si>
  <si>
    <t>Corach, Daniel/0000-0002-0662-7424; Catalano, Santiago Andres/0000-0001-9153-1365</t>
  </si>
  <si>
    <t>0378-2697</t>
  </si>
  <si>
    <t>1615-6110</t>
  </si>
  <si>
    <t>PLANT SYST EVOL</t>
  </si>
  <si>
    <t>Plant Syst. Evol.</t>
  </si>
  <si>
    <t>10.1007/s00606-006-0425-x</t>
  </si>
  <si>
    <t>Plant Sciences; Evolutionary Biology</t>
  </si>
  <si>
    <t>100RY</t>
  </si>
  <si>
    <t>WOS:000241687600001</t>
  </si>
  <si>
    <t>Pérez-Torres, E; Bascuñan, L; Sierra, A; Bravo, LA; Corcuera, LJ</t>
  </si>
  <si>
    <t>Perez-Torres, E.; Bascunan, L.; Sierra, A.; Bravo, L. A.; Corcuera, L. J.</t>
  </si>
  <si>
    <t>Robustness of activity of Calvin cycle enzymes after high light and low temperature conditions in Antarctic vascular plants</t>
  </si>
  <si>
    <t>PHOSPHATE SYNTHASE ACTIVITY; DESCHAMPSIA-ANTARCTICA; ELECTRON-TRANSPORT; RUBISCO ACTIVASE; WINTER RYE; CHLOROPLAST FRUCTOSE-1,6-BISPHOSPHATASE; COLOBANTHUS-QUITENSIS; GROWTH TEMPERATURE; NITRATE NUTRITION; THIOREDOXIN-F</t>
  </si>
  <si>
    <t>Only two vascular plants have naturally colonized the Maritime Antarctic: Colobanthus quitensis and Deschampsia antarctica. We propose that one of the reasons of their success in this environment is the robustness of their CO2 assimilation machinery. In order to understand the mechanisms involved in the positive photosynthetic rates under stressful conditions, we analyzed changes in the activity of two key Calvin cycle enzymes: Ribulose bisphosphate carboxylase oxygenase (Rubisco) and stromal Fructose-1,6-bisphosphatase after high light and low temperature treatments. Our results show that the activity of both enzymes does not decrease after 48 h high light/low temperature treatments, a feature usually observed in plants adapted to harsh environments. The activation state of both enzymes remained high throughout the treatments. This feature has been related to the redox state of the chloroplast, suggesting that both plants maintain their redox balance under high light and/or low temperature conditions assayed. Both plants differed in their responsiveness to cold acclimation as observed by gas exchange and enzymatic measurements. We propose that these differences may be related to microclimate adaptations to the environment they naturally develop in the Maritime Antarctic.</t>
  </si>
  <si>
    <t>Univ Concepcion, Fac Ciencias Nat &amp; Oceanog, Dept Bot, Concepcion, Chile</t>
  </si>
  <si>
    <t>Universidad de Concepcion</t>
  </si>
  <si>
    <t>Corcuera, LJ (corresponding author), Univ Concepcion, Fac Ciencias Nat &amp; Oceanog, Dept Bot, Casilla 160-C, Concepcion, Chile.</t>
  </si>
  <si>
    <t>lcorcuer@udec.cl</t>
  </si>
  <si>
    <t>Bascunan-Godoy, Luisa/H-7357-2015; Bravo, Leon/H-9251-2018; Bravo, León/AAO-8437-2020; Godoy, Luisa Bascunan/AAF-2978-2019; Corcuera, Luis J/G-1714-2014; Sierra, Angela/F-8409-2014</t>
  </si>
  <si>
    <t>Bascunan-Godoy, Luisa/0000-0001-8346-7295; Bravo, Leon/0000-0003-4705-4842; Bravo, León/0000-0003-4705-4842; Godoy, Luisa Bascunan/0000-0001-8346-7295; Sierra, Angela/0000-0002-4207-0950</t>
  </si>
  <si>
    <t>10.1007/s00300-006-0131-8</t>
  </si>
  <si>
    <t>089TA</t>
  </si>
  <si>
    <t>WOS:000240902500001</t>
  </si>
  <si>
    <t>Terauds, A; Gales, R</t>
  </si>
  <si>
    <t>Terauds, Aleks; Gales, Rosemary</t>
  </si>
  <si>
    <t>Provisioning strategies and growth patterns of light-mantled sooty albatrosses Phoebetria palpebrata on Macquarie Island</t>
  </si>
  <si>
    <t>BLACK-BROWED ALBATROSSES; BREEDING BIOLOGY; WANDERING ALBATROSSES; DIOMEDEA-MELANOPHRIS; PELAGIC SEABIRD; FORAGING TRIPS; METABOLIC-RATE; CHICK GROWTH; BIRD-ISLAND; CHRYSOSTOMA</t>
  </si>
  <si>
    <t>Provisioning regimes and growth of Light-mantled Sooty Albatrosses (LMSA) (Phoebetria palpebrata) were investigated on subantarctic Macquarie Island using an automatic tracking system and automatic weighing nests. The nests were deployed under five chicks in the post-brood provisioning period in 2000 and 2001. Adults typically utilised a cyclical foraging strategy consisting of a long foraging trip followed by three to four shorter trips. Chicks received an average (+/- SE) of 37.5 +/- 2.3 kg of food in the post-brood provisioning period and were fed every 1.6 +/- 0.1 days with a mean meal size of 520 +/- 10 g. Chicks grew at a rate of 61.3 +/- 1.0 g day(-1) stop to a peak mass of 4.4 +/- 0.1 kg. Mean chick fledging mass was 3.0 +/- 0.1 kg. LMSA on Macquarie Island fed their chicks more frequently and showed a lower mean trip duration than conspecifics at South Georgia, which is likely related to proximity of productive Antarctic shelf waters, differences in prey availability and competition with other Procellariiformes.</t>
  </si>
  <si>
    <t>Dept Primary Ind Water &amp; Environm, Biodivers Conservat Branch, Hobart, Tas 7000, Australia; Univ Tasmania, Sandy Bay, Tas 7005, Australia</t>
  </si>
  <si>
    <t>Gales, R (corresponding author), Dept Primary Ind Water &amp; Environm, Biodivers Conservat Branch, POB 44, Hobart, Tas 7000, Australia.</t>
  </si>
  <si>
    <t>Rosemary.Gales@dpiwe.tas.gov.au</t>
  </si>
  <si>
    <t>Terauds, Aleks/A-4991-2010</t>
  </si>
  <si>
    <t>Terauds, Aleks/0000-0001-7804-6648</t>
  </si>
  <si>
    <t>10.1007/s00300-006-0133-6</t>
  </si>
  <si>
    <t>WOS:000240902500002</t>
  </si>
  <si>
    <t>Kuhn, KL; Gaffney, PM</t>
  </si>
  <si>
    <t>Kuhn, Kristen L.; Gaffney, Patrick M.</t>
  </si>
  <si>
    <t>Preliminary assessment of population structure in the mackerel icefish (Champsocephalus gunnari)</t>
  </si>
  <si>
    <t>SINGLE NUCLEOTIDE POLYMORPHISMS; PATAGONIAN TOOTHFISH; MITOCHONDRIAL-DNA; SOUTHERN-OCEAN; GENETIC-DIFFERENCES; STATISTICAL TESTS; UNIQUE FAMILY; INDIAN-OCEAN; CHUM SALMON; FISH</t>
  </si>
  <si>
    <t>The mackerel icefish (Champsocephalus gunnari Lonnberg E (1905) The Fishes of the Swedish South Polar Expedition. Wiss. Ergebnisse Schwedische Sudpol- Exped. 1901-1903, vol 5, p 37 is widely distributed south of the Antarctic convergence and over shelf areas surrounding sub-Antarctic Islands. In order to evaluate global population structure in this species, we examined DNA sequence variation in four mitochondrial regions and four nuclear genes in icefish from four locations in the Atlantic Ocean sector and one location in the Indian Ocean. Despite small sample sizes, mitochondrial and nuclear gene data indicated the existence of at least three genetically distinct stocks: Heard Island, South Shetland Islands, and the remaining Atlantic populations (Shag Rocks, South Georgia, and Bouvet Island). The mitochondrial and nuclear SNP markers developed here will be useful for more extensive analyses of population structure in this species.</t>
  </si>
  <si>
    <t>Univ Delaware, Coll Marine Studies, Lewes, DE 19958 USA</t>
  </si>
  <si>
    <t>Kuhn, KL (corresponding author), Univ Delaware, Coll Marine Studies, 700 Pilottown Rd, Lewes, DE 19958 USA.</t>
  </si>
  <si>
    <t>kuhnkl@udel.edu; pgaffney@udel.edu</t>
  </si>
  <si>
    <t>10.1007/s00300-006-0134-5</t>
  </si>
  <si>
    <t>WOS:000240902500003</t>
  </si>
  <si>
    <t>Ingels, J; Vanhove, S; De Mesel, I; Vanreusel, A</t>
  </si>
  <si>
    <t>Ingels, J.; Vanhove, S.; De Mesel, I.; Vanreusel, A.</t>
  </si>
  <si>
    <t>The biodiversity and biogeography of the free-living nematode genera Desmodora and Desmodorella (family Desmodoridae) at both sides of the Scotia Arc</t>
  </si>
  <si>
    <t>SOUTHEASTERN WEDDELL SEA; DEEP-SEA; MEIOFAUNA COMMUNITIES; METAZOAN MEIOBENTHOS; STRUCTURAL-ANALYSIS; BENTHIC DIVERSITY; MARINE NEMATODES; SOUTHERN-OCEAN; NE ATLANTIC; ANTARCTICA</t>
  </si>
  <si>
    <t>Samples taken at two stations in the northern and southern parts of the Scotia Arc, at depths of 277 and 307 m, respectively, were analysed for metazoan meiofauna with special attention to the nematodes. Identification to species level was performed for two closely related subdominant nematode genera (Desmodora and Desmodorella) in samples from the two Scotia Arc stations and in other available samples from adjacent areas (Magellan Region, Drake Passage, Weddell Sea). Seven Desmodora species and three Desmodorella species were found, of which, respectively five and two species are new to science. The Scotia Arc stations show relatively high densities and average diversity on meiofauna and nematode level compared to adjacent areas. The distribution patterns of the various Desmodora and Desmodorella species suggest the Scotia Arc as a shallow bridge and a possible exchange route for meiofauna between the Antarctic and South America, especially since these species seem to be constrained by water depth.</t>
  </si>
  <si>
    <t>Univ Ghent, Dept Biol, Marine Biol Sect, B-9000 Ghent, Belgium</t>
  </si>
  <si>
    <t>Ghent University</t>
  </si>
  <si>
    <t>Ingels, J (corresponding author), Univ Ghent, Dept Biol, Marine Biol Sect, Krijgslaan 281-S8, B-9000 Ghent, Belgium.</t>
  </si>
  <si>
    <t>jeroen.ingels@ugent.be</t>
  </si>
  <si>
    <t>Ingels, Jeroen/A-1691-2008</t>
  </si>
  <si>
    <t>Ingels, Jeroen/0000-0001-8342-2222</t>
  </si>
  <si>
    <t>10.1007/s00300-006-0135-4</t>
  </si>
  <si>
    <t>WOS:000240902500004</t>
  </si>
  <si>
    <t>Ward, P; Shreeve, R; Tarling, GA</t>
  </si>
  <si>
    <t>Ward, Peter; Shreeve, Rachael; Tarling, Geraint A.</t>
  </si>
  <si>
    <t>The autumn mesozooplankton community at South Georgia: biomass, population structure and vertical distribution</t>
  </si>
  <si>
    <t>ANTARCTIC CIRCUMPOLAR CURRENT; RHINCALANUS-GIGAS COPEPODA; CALANOIDES-ACUTUS; SCOTIA SEA; ZOOPLANKTON COMMUNITY; LIFE-CYCLE; SUMMER; OCEAN; PHYTOPLANKTON; ECOSYSTEM</t>
  </si>
  <si>
    <t>Mesozooplankton were sampled at shelf and oceanic stations close to South Georgia, South Atlantic during austral autumn 2004 with a Longhurst Hardy Plankton Recorder. Onshelf biomass ranged from 2.18 to 5.75 g DM m(-2) (0-200 m) and was dominated by the small euphausiid Thysanoessa spp. At the oceanic stations (10.57-14.71 g DM m(-2), 0-1,000 m) large calanoids, principally Rhincalanus gigas comprised similar to 47-52% of biomass. Here Calanus simillimus was still active and reproducing in surface waters (0-11.2 eggs fem day(-1) but R. gigas and Calanoides acutus were largely resident in the warm deep water and undergoing their seasonal descent. A comparison with spring and summer data indicated increased abundance and biomass from spring through to summer followed by a decline towards autumn particularly over the shelf. Autumn values in oceanic waters differed little from summer. Mesozooplankton biomass in the surface 200 m of the oceanic stations as a proportion of that found in the top 1,000 m ranged from 63 to 78% of the total in spring and 62-73% in summer, but was only 23-29% of the total in this study, following redistribution down the water column.</t>
  </si>
  <si>
    <t>Ward, P (corresponding author), British Antarctic Survey, NERC, High Cross,Madingley Rd, Cambridge CB3 0ET, England.</t>
  </si>
  <si>
    <t>pwar@nerc-bas.ac.uk</t>
  </si>
  <si>
    <t>10.1007/s00300-006-0136-3</t>
  </si>
  <si>
    <t>WOS:000240902500005</t>
  </si>
  <si>
    <t>La Mesa, M; Ascoli, L; Caputo, V</t>
  </si>
  <si>
    <t>La Mesa, Mario; Ascoli, Laura; Caputo, Vincenzo</t>
  </si>
  <si>
    <t>Gametogenesis and reproductive strategies in some species of the Antarctic fish genus Trematomus (Nototheniidae) from Terra Nova Bay, Ross Sea</t>
  </si>
  <si>
    <t>OOCYTE GROWTH; MCMURDO SOUND; SEXUAL CYCLES; PISCES; SPERMATOGENESIS; PLASTICITY; BERNACCHII; OOGENESIS; TELEOSTS; NEWNESI</t>
  </si>
  <si>
    <t>Species of the genus Trematomus are the most common nototheniids in the High-Antarctic Zone, and several live sympatrically on the Ross Sea continental shelf. Histological analysis of gonadal development of T. bernacchii, T. hansoni and T. newnesi was carried out on samples collected during the austral summer in the coastal waters of Terra Nova Bay, western Ross Sea. Gonads of both females and males of the three species were described based on macroscopic and histologic scales. Histologically, both males and females of T. bernacchii were in postspawning or in early maturing condition, thus indicating that they recently completed spawning. Conversely, most specimens of T. hansoni were in spawning condition, as evidenced by the histological appearance of gonads and by the high value of gonado-somatic index (GSI) of females between 20 and 36%. In the same period, females of T. newnesi had maturing ovaries, whereas males were at an early developmental stage of maturity. In all species, the testicular structure closely resembled the unrestricted spermatogonial type, although spermatogonia were more concentrated in the blind end of tubules. On the basis of the pattern of oocyte maturity observed within the ovarian lamellae, all Trematomus had a group synchronous ovary, as commonly reported in Antarctic fish. Furthermore, the presence of oocytes showing the commencement of yolk deposition in spent females confirms that vitellogenesis is a slow process, extending over at least 1 year. The reproductive strategies of Trematomus are discussed in terms of timing of the spawning season of each species as a function of the seasonal production cycle and of the interspecific relationships. The spawning activities of the three species investigated appeared to be mismatched with respect to time as well as location within the range of distribution of each.</t>
  </si>
  <si>
    <t>CNR, Ist Sci Marine, Sez Ancona, I-60125 Ancona, Italy; Univ Ancona, Politecn Marche, Ist Biol Genet, I-60131 Ancona, Italy</t>
  </si>
  <si>
    <t>Consiglio Nazionale delle Ricerche (CNR); Istituto di Scienze Marine (ISMAR-CNR); Marche Polytechnic University</t>
  </si>
  <si>
    <t>La Mesa, M (corresponding author), CNR, Ist Sci Marine, Sez Ancona, Largo Fiera Pesca, I-60125 Ancona, Italy.</t>
  </si>
  <si>
    <t>m.lamesa@ismar.cnr.it</t>
  </si>
  <si>
    <t>CNR, Ismar/P-1247-2014</t>
  </si>
  <si>
    <t>CNR, Ismar/0000-0001-5351-1486</t>
  </si>
  <si>
    <t>10.1007/s00300-006-0138-1</t>
  </si>
  <si>
    <t>WOS:000240902500006</t>
  </si>
  <si>
    <t>Lowe, CJ; Davison, W</t>
  </si>
  <si>
    <t>Lowe, Cara J.; Davison, William</t>
  </si>
  <si>
    <t>Thermal sensitivity of scope for activity in Pagothenia borchgrevinki, a cryopelagic Antarctic nototheniid fish</t>
  </si>
  <si>
    <t>ROUTINE OXYGEN-CONSUMPTION; RESPIRATORY METABOLISM; TEMPERATURE; PERFORMANCE; ACCLIMATION; LOCOMOTION; ENERGETICS; RESPONSES; EXERCISE; TURBOT</t>
  </si>
  <si>
    <t>The thermal sensitivity of scope for activity was studied in the Antarctic nototheniid fish Pagothenia borchgrevinki. The scope for activity of P. borchgrevinki at 0 degrees C was 189 mg O-2 kg(-1) h(-1) (factorial scope 6.8) which is similar to that of temperate and tropical species at their environmental temperatures, providing no evidence for metabolic cold adaptation of maximum activity. The scope for activity increased to a maximum value of 266 mg O-2 kg(-1) h(-1) (factorial scope 8.3) at 3 degrees C and then decreased from 3 to 6 degrees C. The thermal sensitivity of critical swimming speed was also investigated and followed a similar pattern to aerobic scope for activity, suggesting oxygen limitation of aerobic performance. Oxygen consumption rates and ventilation frequencies were monitored for 24 h after the swimming challenge and the recovery of both parameters to resting levels was rapid and independent of temperature.</t>
  </si>
  <si>
    <t>Landcare Res, Lincoln 8152, New Zealand; Univ Canterbury, Sch Biol Sci, Christchurch 1, New Zealand</t>
  </si>
  <si>
    <t>Landcare Research - New Zealand; University of Canterbury</t>
  </si>
  <si>
    <t>Lowe, CJ (corresponding author), Landcare Res, POB 69, Lincoln 8152, New Zealand.</t>
  </si>
  <si>
    <t>lowec@landcareresearch.co.nz</t>
  </si>
  <si>
    <t>10.1007/s00300-006-0139-0</t>
  </si>
  <si>
    <t>WOS:000240902500007</t>
  </si>
  <si>
    <t>Young, JS; Peck, LS; Matheson, T</t>
  </si>
  <si>
    <t>Young, John S.; Peck, Lloyd S.; Matheson, Thomas</t>
  </si>
  <si>
    <t>The effects of temperature on walking and righting in temperate and Antarctic crustaceans</t>
  </si>
  <si>
    <t>DECAPOD CRUSTACEANS; POLAR AREAS; BIOGEOGRAPHY; POPULATION; DEPENDENCE; AMPHIPODA; TOLERANCE; RESPONSES; BEHAVIOR</t>
  </si>
  <si>
    <t>Antarctic marine invertebrates live in a cold, thermally stable environment and cannot tolerate large changes in body temperature (i.e. they are stenothermal). Their temperate relatives, by contrast, are eurythermal, living in warmer and thermally more variable environments. Have these different environments influenced how specific behaviours are affected by changes of temperature? This question was addressed in two temperate crustaceans, the decapod Carcinus maenas and isopod Ligia oceanica, and two Antarctic crustaceans, the isopod Glyptonotus antarcticus and amphipod Paraceradocus gibber. The thermal dependence of walking speed was analysed by contrasting the slopes of the linear part of each species' behavioural curve. Over the temperature ranges analysed, the temperature sensitivity of walking speed in the stenotherms was 13-23% that of the eurytherms when measured in body lengths s(-1). There was a linear relationship between walking speed and temperature up to +4.5 degrees C in the Antarctic species G. antarcticus and P. gibber. Elevating temperature by up to 3.5 degrees C above the maximum temperature experienced in the Antarctic (+1 degrees C), does not lead to an acute breakdown of motor coordination. We describe for the first time the righting behaviour of G. antarcticus. The mean time-to-right tended to a minimum on warming from -2 to+5 degrees C, but this trend was not statistically significant. Our results suggest that the physiological adaptations which permit continued activity at low Antarctic temperatures have resulted in a lower thermal dependence of activity in Antarctic species, compared to related temperate species.</t>
  </si>
  <si>
    <t>Univ Cambridge, Dept Zool, Cambridge CB2 3EJ, England; British Antarctic Survey, Cambridge CB3 0ET, England; Univ Oxford, Dept Pharmacol, Oxford OX1 3QT, England; Univ Leicester, Dept Biol, Leicester LE1 7RH, Leics, England</t>
  </si>
  <si>
    <t>University of Cambridge; UK Research &amp; Innovation (UKRI); Natural Environment Research Council (NERC); NERC British Antarctic Survey; University of Oxford; University of Leicester</t>
  </si>
  <si>
    <t>Young, JS (corresponding author), Univ Cambridge, Dept Zool, Downing St, Cambridge CB2 3EJ, England.</t>
  </si>
  <si>
    <t>john.young@pharm.ox.ac.uk</t>
  </si>
  <si>
    <t>Young, John/J-2529-2013</t>
  </si>
  <si>
    <t>Young, John/0000-0002-2711-9701; Matheson, Thomas/0000-0002-6061-9038</t>
  </si>
  <si>
    <t>NERC [bas010015, bas010008] Funding Source: UKRI; Natural Environment Research Council [bas010015, bas010008] Funding Source: researchfish</t>
  </si>
  <si>
    <t>10.1007/s00300-006-0140-7</t>
  </si>
  <si>
    <t>WOS:000240902500008</t>
  </si>
  <si>
    <t>Rautenberger, R; Bischof, K</t>
  </si>
  <si>
    <t>Rautenberger, Ralf; Bischof, Kai</t>
  </si>
  <si>
    <t>Impact of temperature on UV-susceptibility of two Ulva (Chlorophyta) species from Antarctic and Subantarctic regions</t>
  </si>
  <si>
    <t>ULTRAVIOLET-B RADIATION; MARINE MACROALGAE; ARCTIC MACROALGAE; OXIDATIVE STRESS; RED MACROPHYTES; SOUTHERN SPAIN; PUNTA-ARENAS; PHOTOSYNTHESIS; GROWTH; REQUIREMENTS</t>
  </si>
  <si>
    <t>The interactive effects of UV-B-exposure and increased temperature were investigated in the two green macroalgae Ulva bulbosa from Antarctica and Ulva clathrata from southern Chile in the laboratory. At seawater temperatures of 0 degrees C, UV-induced inhibition of photosynthesis was much larger in U. clathrata than in U. bulbosa, whereas temperatures of 10 degrees C compensated UV-effects in both species. Despite pronounced photoinhibition, damage to D1 protein in photosystem II could not be detected, indicating that photosynthetic reaction centers were unaffected by experimental UV-exposure. In addition, marked differences in the generation of oxidative stress were not detected. Under all treatments, the activity of superoxide dismutase was higher in U. bulbosa than in U. clathrata, indicating a higher degree of cold adaptation in U. bulbosa from Antarctica, resulting in a higher UV-tolerance at 0 degrees C than in U. clathrata from southern Chile.</t>
  </si>
  <si>
    <t>Univ Kiel, Inst Polac Ecol, D-24148 Kiel, Germany</t>
  </si>
  <si>
    <t>University of Kiel</t>
  </si>
  <si>
    <t>Rautenberger, R (corresponding author), Univ Kiel, Inst Polac Ecol, Wischhofstr 1-3,Bldg 12, D-24148 Kiel, Germany.</t>
  </si>
  <si>
    <t>rrautenberger@ipoe.uni-kiel.de</t>
  </si>
  <si>
    <t>Rautenberger, Ralf/AAD-2659-2020</t>
  </si>
  <si>
    <t>Bischof, Kai/0000-0002-4497-1920; Rautenberger, Ralf/0000-0002-1339-2838</t>
  </si>
  <si>
    <t>10.1007/s00300-006-0141-6</t>
  </si>
  <si>
    <t>WOS:000240902500009</t>
  </si>
  <si>
    <t>Kjær, KG</t>
  </si>
  <si>
    <t>Kjær, Kjell-G.</t>
  </si>
  <si>
    <t>The polar ship Frithjof</t>
  </si>
  <si>
    <t>Frithjof participated in several North Pole expeditions between 1898 and 1907 and was also involved in several relief expeditions. Her most frequent commander was Captain Johan Kjeldsen, who was an internationally famous ice pilot.: Frith of was built in 1884 at Stokke on Oslo fjord, Norway. After being employed in the sealing trade for some years, Frithjof was sold to an Icelandic concern. In 1891 she returned to Norwegian ownership and, in 1898, was chartered for Walter Wellman's North Pole expedition of the years 1898-1899. In 1900, she was the expedition ship for the Kolthoff expedition to Greenland, Spitsbergen and Jan Mayen. Between 1901 and 1904 she was engaged in Ziegler's North Pole expeditions both as expedition ship and as relief vessel. In 1903 the Swedish government chartered Frithjof in order to search for the Nordenskjold expedition in the Antarctic. In 1906-7 the ship was again chartered for Wellman's North Pole airship expeditions. In late September 1907, Frithjof sailed from Tromso on a relief expedition to search for Laura, an expedition vessel to Greenland that had not been heard of for three months. On 5 October 1907 she was lost in a storrn off Iceland and only one man survived from her crew of 17.</t>
  </si>
  <si>
    <t>Kjær, KG (corresponding author), Torsvag, N-9136 Vannareid, Norway.</t>
  </si>
  <si>
    <t>kkjaer@online.no</t>
  </si>
  <si>
    <t>10.1017/S0032247406005535</t>
  </si>
  <si>
    <t>108OX</t>
  </si>
  <si>
    <t>WOS:000242250200001</t>
  </si>
  <si>
    <t>Harrowfield, DL</t>
  </si>
  <si>
    <t>Harrowfield, David L.</t>
  </si>
  <si>
    <t>Analysis of timber weathering and wind velocity at Cape Adare, with comments on other historic sites in Antarctica</t>
  </si>
  <si>
    <t>At Cape Adare, there are three wooden historic huts in varying condition. Two are the first permanent structures erected in Antarctica for human habitation and were occupied in 1899 by the British Antarctic Expedition (1898-1900) led by C.E. Borchgrevink. The third hut was built in 1911 by the northern party of R.F. Scott's British Antarctic Expedition (1910-13) led by VL.A. Campbell. Previous research has focused on the unusual wind regime at Ridley Beach, Cape Adare, with the use of an environmental wind tunnel to support field observations, and on the sequence of destruction by wind of the 1911 hut. The present paper focuses on the weathering of timber at some historic huts in Antarctica and presents observations and data collected on three visits to Cape Adare spanning 21 years. The results indicate that over 23% of the timber has been eroded from exposed board ends on one corner of Borchgrevink's 'stores hut' and further damage to the huts is being caused by wind blown sand and pebbles which, at two meters above the ground surface, can attain a velocity of 29-203 km/hr(-1). This has in places, resulted in severe degradation of the timber.</t>
  </si>
  <si>
    <t>Harrowfield, DL (corresponding author), POB 253, Oamaru 9444, North Otago, New Zealand.</t>
  </si>
  <si>
    <t>1475-3057</t>
  </si>
  <si>
    <t>10.1017/S0032247406005584</t>
  </si>
  <si>
    <t>WOS:000242250200002</t>
  </si>
  <si>
    <t>Weber, M</t>
  </si>
  <si>
    <t>Weber, Melissa</t>
  </si>
  <si>
    <t>Accreditation as a regulatory option for Antarctic bioprospecting</t>
  </si>
  <si>
    <t>The current lack of a specific policy regime for Antarctic biological prospecting (bioprospecting) has emerged as a focus of recent discussion. Consideration has been given to the interface of the Convention on Biological Diversity (CBD), the United Nations Convention on the Law of the Sea (UNCLOS) and the Antarctic Treaty System (ATS). This paper aims to introduce the potential for industry accreditation to address existing regulatory uncertainty. The Marine Stewardship Council (MSC) accreditation for sustainable fisheries and the accreditation scheme being developed for Antarctic tour operators provide examples of industry accreditation that interplay with the Antarctic Treaty System. Accreditation may provide an avenue for industry to promote legitimate activities, demonstrate willingness to comply with existing principles and established regulations while the perception of being over-regulated is potentially reduced. Accreditation may also serve as an is not without its limitations, it does provide an avenue for the Antarctic Treaty Consultative Parties (ATCPs) to engage industry stakeholders, clarify existing obligations and promote a regulatory initiative in conformity with the principles of the Antarctic Treaty System.</t>
  </si>
  <si>
    <t>Univ Tasmania, Inst Antarctic &amp; So Ocean Studies, Hobart, Tas 7001, Australia</t>
  </si>
  <si>
    <t>Weber, M (corresponding author), Univ Tasmania, Inst Antarctic &amp; So Ocean Studies, Private Bag 77, Hobart, Tas 7001, Australia.</t>
  </si>
  <si>
    <t>10.1017/S0032247406005766</t>
  </si>
  <si>
    <t>WOS:000242250200007</t>
  </si>
  <si>
    <t>Stone, IR; Bosco, P</t>
  </si>
  <si>
    <t>Stone, Ian R.; Bosco, Piero</t>
  </si>
  <si>
    <t>Plans for an Italian Antarctic expedition, 1881</t>
  </si>
  <si>
    <t>Giacomo Bove, an Italian participant in Adolf Erik Nordenskiold's 1878-1880 Northeast Passage expedition, and Cristoforo Negri, director of the Italian Geographical Society, drew up plans for an Italian Antarctic expedition to depart from Genoa in 1881. The plans were for a three-year, single-vessel expedition with two winterings, one in the Ross Sea and the second in Enderby Land. They were drawn up in considerable detail and proposed a lavish budget. The expedition never took place because of failure to secure sufficient funds from public subscription and because of the unwillingness of the Italian government to provide support. However, Bove was employed by the Argentine government to put into effect expeditions that had some elements of his plans.</t>
  </si>
  <si>
    <t>Stone, IR (corresponding author), Univ Cambridge, Scott Polar Res Inst, Lensfield Rd, Cambridge CB2 1ER, England.</t>
  </si>
  <si>
    <t>10.1017/S0032247406005560</t>
  </si>
  <si>
    <t>WOS:000242250200008</t>
  </si>
  <si>
    <t>Chen, BH; Li, JP; Ding, RQ</t>
  </si>
  <si>
    <t>Chen Baohua; Li Jianping; Ding Ruiqiang</t>
  </si>
  <si>
    <t>Nonlinear local Lyapunov exponent and atmospheric predictability research</t>
  </si>
  <si>
    <t>SCIENCE IN CHINA SERIES D-EARTH SCIENCES</t>
  </si>
  <si>
    <t>nonlinear; local; Lyapunov exponent; atmospheric predictability; maximal prediction time</t>
  </si>
  <si>
    <t>COMPUTATIONAL UNCERTAINTY PRINCIPLE; ORDINARY DIFFERENTIAL-EQUATIONS; MODEL; TIME; DYNAMICS; RANGE; ATTRACTORS; STABILITY; HEIGHTS; SPACE</t>
  </si>
  <si>
    <t>Because atmosphere itself is a nonlinear system and there exist some problems using the linearized equations to study the initial error growth, in this paper we try to use the error nonlinear growth theory to discuss its evolution, based on which we first put forward a new concept: nonlinear local Lyapunov exponent. It is quite different from the classic Lyapunov exponent because it may characterize the finite time error local average growth and its value depends on the initial condition, initial error, variables, evolution time, temporal and spatial scales. Based on its definition and the atmospheric features, we provide a reasonable algorithm to the exponent for the experimental data, obtain the atmospheric initial error growth in finite time and gain the maximal prediction time. Lastly, taking 500 hPa height field as example, we discuss the application of the nonlinear local Lyapunov exponent in the study of atmospheric predictability and get some reliable results: atmospheric predictability has a distinct spatial structure. Overall, predictability shows a zonal distribution. Prediction time achieves the maximum over tropics, the second near the regions of Antarctic, it is also longer next to the Arctic and in subtropics and the mid-latitude the predictability is lowest. Particularly speaking, the average prediction time near the equation is 12 days and the maximum is located in the tropical Indian, Indonesia and the neighborhood, tropical eastern Pacific Ocean, on these regions the prediction time is about two weeks. Antarctic has a higher predictability than the neighboring latitudes and the prediction time is about 9 days. This feature is more obvious on Southern Hemispheric summer. In Arctic, the predictability is also higher than the one over mid-high latitudes but it is not pronounced as in Antarctic. Mid-high latitude of both Hemispheres (30 degrees S-60 degrees S, 30 degrees-60 degrees N) have the lowest predictability and the mean prediction time is just 3-4 d. In addition, predictability varies with the seasons. Most regions in the Northern Hemisphere, the predictability in winter is higher than that in summer, especially in the mid-high latitude: North Atlantic, North Pacific and Greenland Island. However in the Southern Hemisphere, near the Antarctic regions (60 degrees S-90 degrees S), the corresponding summer has higher predictability than its winter, while in other areas especially in the latitudes of 30 degrees S-60 degrees S, the prediction does not change obviously with the seasons and the average time is 3-5 d. Both the theoretical and data computation results show that nonlinear local Lyapunov exponent and the nonlinear local error growth really may measure the predictability of the atmospheric variables in different temporal and spatial scales.</t>
  </si>
  <si>
    <t>Lanzhou Univ, Coll Atmospher Sci, Lanzhou 730000, Peoples R China; Chinese Acad Sci, State Key Lab Numer Modeling Atmospher Sci &amp; Geop, Inst Atmospher Phys, Beijing 100029, Peoples R China</t>
  </si>
  <si>
    <t>Lanzhou University; Chinese Academy of Sciences; Institute of Atmospheric Physics, CAS</t>
  </si>
  <si>
    <t>Li, JP (corresponding author), Lanzhou Univ, Coll Atmospher Sci, Lanzhou 730000, Peoples R China.</t>
  </si>
  <si>
    <t>ljp@lasg.iap.ac.cn</t>
  </si>
  <si>
    <t>Ding, Ruiqiang/AAF-9948-2021; Li, Jianping/I-2661-2012; Ding, Ruijiang/H-8364-2015</t>
  </si>
  <si>
    <t>Ding, Ruiqiang/0000-0003-4139-3843; Ding, Ruijiang/0000-0003-4139-3843</t>
  </si>
  <si>
    <t>1006-9313</t>
  </si>
  <si>
    <t>SCI CHINA SER D</t>
  </si>
  <si>
    <t>Sci. China Ser. D-Earth Sci.</t>
  </si>
  <si>
    <t>10.1007/s11430-006-1111-0</t>
  </si>
  <si>
    <t>105AB</t>
  </si>
  <si>
    <t>WOS:000242000600010</t>
  </si>
  <si>
    <t>Adams, BJ; Bardgett, RD; Ayres, E; Wall, DH; Aislabie, J; Bamforth, S; Bargagli, R; Cary, C; Cavacini, P; Connell, L; Convey, P; Fell, JW; Frati, F; Hogg, ID; Newsham, KK; O'Donnell, A; Russell, N; Seppelt, RD; Stevens, MI</t>
  </si>
  <si>
    <t>Adams, Byron J.; Bardgett, Richard D.; Ayres, Edward; Wall, Diana H.; Aislabie, Jackie; Bamforth, Stuart; Bargagli, Roberto; Cary, Craig; Cavacini, Paolo; Connell, Laurie; Convey, Peter; Fell, Jack W.; Frati, Francesco; Hogg, Ian D.; Newsham, Kevin K.; O'Donnell, Anthony; Russell, Nicholas; Seppelt, Rodney D.; Stevens, Mark I.</t>
  </si>
  <si>
    <t>Diversity and distribution of Victoria Land biota</t>
  </si>
  <si>
    <t>Workshop on Synthesis of Soil Biodiversity and Ecosystem Functioning in Victoria Land, Antarctica</t>
  </si>
  <si>
    <t>APR, 2005</t>
  </si>
  <si>
    <t>Jekyll Isl, GA</t>
  </si>
  <si>
    <t>belowground; biodiversity; biogeography; distribution ecology; ecosystem services; ecosystem functioning; global change; species diversity; systematics; taxonomy</t>
  </si>
  <si>
    <t>MCMURDO DRY VALLEYS; FRESH-WATER; ALGAL MATS; ANTARCTIC SOIL; TAYLOR VALLEY; KAR PLATEAU; BIODIVERSITY; ECOLOGY; LICHENS; FUNGI</t>
  </si>
  <si>
    <t>Understanding the relationship between soil biodiversity and ecosystem functioning is critical to predicting and monitoring the effects of ecosystem changes on important soil processes. However, most of Earth's soils are too biologically diverse to identify each species present and determine their functional role in food webs. The soil ecosystems of Victoria Land (VL) Antarctica are functionally and biotically simple, and serve as in situ models for determining the relationship between biodiversity and ecosystem processes. For a few VL taxa (microarthropods, nematodes, algae, mosses and lichens), species diversity has been intensively assessed in highly localized habitats, but little is known of how community assemblages vary across broader spatial scales, or across latitudinal and environmental gradients. The composition of tardigrade, rotifer, protist, fungal and prokaryote communities is emerging. The latter groups are the least studied, but potentially the most diverse. Endemism is highest for microarthropods and nematodes, less so for tardigrades and rotifers, and apparently low for mosses, lichens, protists, fungi and prokaryotes. Much of what is known about VL diversity and distribution occurs in an evolutionary and ecological vacuum; links between taxa and functional role in ecosystems are poorly known and future studies must utilize phylogenetic information to infer patterns of community assembly, speciation, extinction, population processes and biogeography. However, a comprehensive compilation of all the species that participate in soil ecosystem processes, and their distribution acrossregional and landscape scales is immediately achievable in VL with the resources, tools, and expertise currently available. We suggest that the soil ecosystems of VL should play a major role in exploring the relationship between biodiversity and ecosystem functioning, and in monitoring the effects of environmental change on soil processes in real time and space. (c) 2006 Elsevier Ltd. All rights reserved.</t>
  </si>
  <si>
    <t>Brigham Young Univ, WIDB 775, Evolutionary Ecol Labs, Dept Mol Biol &amp; Microbiol, Provo, UT 84602 USA; Univ Lancaster, Soil &amp; Ecosyst Ecol Lab, Inst Environm &amp; Nat Sci, Lancaster LA1 4YQ, England; Colorado State Univ, Nat Resource Ecol Lab, Ft Collins, CO 80523 USA; Landcare Res, Hamilton, New Zealand; Tulane Univ, Dept Ecol Evolut &amp; Organismal Biol, New Orleans, LA 70118 USA; Univ Siena, Dipartimento Sci Ambientali, I-53100 Siena, Italy; Univ Delaware, Coll Marine Studies, Lewes, DE 19958 USA; Univ Roma La Sapienza, Dipartimento Biol Vegetale, I-00185 Rome, Italy; Univ Maine, Sch Marine Sci, Orono, ME 04468 USA; British Antarctic Survey, NERC, Cambridge CB3 0ET, England; Univ Miami, Rosenstiel Sch Marine &amp; Atmospher Sci, Miami, FL 33149 USA; Univ Siena, Dipartimento Biol Evolut, I-53100 Siena, Italy; Univ Waikato, Dept Biol Sci, Ctr Biodivers &amp; Ecol Res, Hamilton, New Zealand; Newcastle Univ, Inst Res Environm &amp; Sustainabil, Newcastle Upon Tyne NE1 7RU, Tyne &amp; Wear, England; Imperial Coll Wye, Dept Agr Sci, Ashford TN25 5AH, Kent, England; Australian Antarctic Div, Kingston, Tas 7050, Australia; Massey Univ, Allan Wilson Ctr Mol Ecol &amp; Evolut, Palmerston North, New Zealand</t>
  </si>
  <si>
    <t>Brigham Young University; Lancaster University; Colorado State University; Landcare Research - New Zealand; Tulane University; University of Siena; University of Delaware; Sapienza University Rome; University of Maine System; University of Maine Orono; UK Research &amp; Innovation (UKRI); Natural Environment Research Council (NERC); NERC British Antarctic Survey; University of Miami; University of Siena; University of Waikato; Newcastle University - UK; Imperial College London; Australian Antarctic Division; Massey University</t>
  </si>
  <si>
    <t>Adams, BJ (corresponding author), Brigham Young Univ, WIDB 775, Evolutionary Ecol Labs, Dept Mol Biol &amp; Microbiol, Provo, UT 84602 USA.</t>
  </si>
  <si>
    <t>bjadams@byu.edu</t>
  </si>
  <si>
    <t>Newsham, Kevin K/C-4192-2011; Convey, Peter/AAV-5728-2020; Wall, Diana H/F-5491-2011; Hogg, Ian D./HNS-7393-2023; Adams, Byron/C-3808-2009; Ayres, Edward/A-4172-2008</t>
  </si>
  <si>
    <t>Convey, Peter/0000-0001-8497-9903; Hogg, Ian D./0000-0002-6685-0089; O'Donnell, Tony/0000-0003-2001-4533; Adams, Byron/0000-0002-7815-3352; Cary, Stephen/0000-0002-2876-2387; Ayres, Edward/0000-0001-5190-258X; Connell, Laurie/0009-0001-3892-8643</t>
  </si>
  <si>
    <t>Natural Environment Research Council [bas010015] Funding Source: researchfish; NERC [bas010015] Funding Source: UKRI</t>
  </si>
  <si>
    <t>10.1016/j.soilbio.2006.04.030</t>
  </si>
  <si>
    <t>099HZ</t>
  </si>
  <si>
    <t>WOS:000241585600002</t>
  </si>
  <si>
    <t>Hogg, ID; Cary, SC; Convey, P; Newsham, KK; O'Donnell, AG; Adams, BJ; Aislabie, J; Frati, F; Stevens, MI; Wall, DH</t>
  </si>
  <si>
    <t>Hogg, Ian D.; Cary, S. Craig; Convey, Pete; Newsham, Kevin K.; O'Donnell, Anthony G.; Adams, Byron J.; Aislabie, Jackie; Frati, Francesco; Stevens, Mark I.; Wall, Diana H.</t>
  </si>
  <si>
    <t>Biotic interactions in Antarctic terrestrial ecosystems: Are they a factor?</t>
  </si>
  <si>
    <t>biotic interactions; Antarctica; soil ecology; terrestrial ecosystems; invertebrates; microbiology; lichens; abiotic factors</t>
  </si>
  <si>
    <t>MCMURDO DRY VALLEYS; VICTORIA LAND; GOMPHIOCEPHALUS-HODGSONI; SOIL NEMATODES; CLIMATE-CHANGE; LIFE-CYCLE; DIVERSITY; COLLEMBOLA; BACTERIA; INVERTEBRATES</t>
  </si>
  <si>
    <t>Antarctic terrestrial ecosystems are noted for their relative simplicity and limited trophic structure. In this context, knowledge of biotic interactions in structuring terrestrial soil communities would seem beneficial from a theoretical perspective as well as from a conservation perspective. Unfortunately, although biotic interactions are generally seen as being insignificant in these unique ecosystems, this view is based upon few explicit studies and very little is known of the role that biotic interactions may play. Accordingly, we review our current understanding of these interactions, including analogues from other appropriate ecosystems. On the basis of this review, we conclude that: (1) Antarctic terrestrial systems are predominantly abiotically-driven systems; and (2) a network of manipulative field and laboratory experiments are needed for establishing any role for biotic interactions in structuring Antarctic soil environments. (c) 2006 Elsevier Ltd. All rights reserved.</t>
  </si>
  <si>
    <t>Univ Waikato, Dept Biol Sci, Hamilton, New Zealand; British Antarctic Survey, NERC, Cambridge CB3 0ET, England; Newcastle Univ, Inst Res Environm &amp; Sustainabil, Newcastle Upon Tyne NE1 7RU, Tyne &amp; Wear, England; Brigham Young Univ, Dept Mol Biol &amp; Microbiol, WIDB 775, Provo, UT 84602 USA; Brigham Young Univ, Evolutionary Ecol Labs, WIDB 775, Provo, UT 84602 USA; Landcare Res, Hamilton, New Zealand; Univ Siena, Dept Evolutionary Biol, I-53100 Siena, Italy; Massey Univ, Allan Wilson Ctr Mol Ecol &amp; Evolut, Palmerston North, New Zealand; Colorado State Univ, Nat Resource Ecol Lab, Ft Collins, CO 80523 USA</t>
  </si>
  <si>
    <t>University of Waikato; UK Research &amp; Innovation (UKRI); Natural Environment Research Council (NERC); NERC British Antarctic Survey; Newcastle University - UK; Brigham Young University; Brigham Young University; Landcare Research - New Zealand; University of Siena; Massey University; Colorado State University</t>
  </si>
  <si>
    <t>Hogg, ID (corresponding author), Univ Waikato, Dept Biol Sci, Private Bag 3105, Hamilton, New Zealand.</t>
  </si>
  <si>
    <t>hogg@waikato.ac.nz</t>
  </si>
  <si>
    <t>Hogg, Ian D./HNS-7393-2023; Newsham, Kevin K/C-4192-2011; Wall, Diana H/F-5491-2011; Convey, Peter/AAV-5728-2020; Adams, Byron/C-3808-2009</t>
  </si>
  <si>
    <t>Hogg, Ian D./0000-0002-6685-0089; Convey, Peter/0000-0001-8497-9903; Adams, Byron/0000-0002-7815-3352; Cary, Stephen/0000-0002-2876-2387; O'Donnell, Tony/0000-0003-2001-4533</t>
  </si>
  <si>
    <t>1879-3428</t>
  </si>
  <si>
    <t>10.1016/j.soilbio.2006.04.026</t>
  </si>
  <si>
    <t>WOS:000241585600004</t>
  </si>
  <si>
    <t>Aislabie, JM; Chhour, KL; Saul, DJ; Miyauchi, S; Ayton, J; Paetzold, RF; Balks, MR</t>
  </si>
  <si>
    <t>Aislabie, Jackie. M.; Chhour, Kim-Ly; Saul, David J.; Miyauchi, Shingo; Ayton, Julie; Paetzold, Ron F.; Balks, Megan R.</t>
  </si>
  <si>
    <t>Dominant bacteria in soils of Marble Point and Wright Valley, Victoria Land, Antarctica</t>
  </si>
  <si>
    <t>bacterial diversity; Antarctic soil; soil temperature; soil water; Victoria Land</t>
  </si>
  <si>
    <t>MCMURDO DRY VALLEYS; MOLECULAR MICROBIAL DIVERSITY; PHYLOGENETIC DIVERSITY; IONIZING-RADIATION; LAKE FRYXELL; ASGARD RANGE; COMMUNITY; SAMPLE; MICROORGANISMS; ACTINOMYCETE</t>
  </si>
  <si>
    <t>A combination of culture-independent and culturing methods was used to assess the diversity of soil bacterial communities from four locations along 77 degrees S in Victoria Land, Antarctica. Soil samples were from the coast at Marble Point, in the Wright Valley from Bull Pass and near Lake Vanda, and from Mt. Fleming near the polar plateau. Total carbon and nitrogen, and water content of the soils were low, whereas total P was very high. The pH of the soils varied from extremely alkaline to slightly acid and electrical conductivity was medium to high on the coast and very high in inland soils from Bull Pass and Mt. Fleming. The average monthly air temperature was similar (-18 degrees C to -24 degrees C) at all the sites; however, in summer surface soil temperatures were &gt; 0 degrees C at Marble Point and in the Wright Valley for a total of I 100 and 1700 h, respectively. Marble Point soil had the most potential to support bacterial growth and activity with a mean total of 310 h per year when surface soils had a liquid volumetric soil moisture content &gt; 5%. Highest counts of culturable heterotrophs occurred in soil from Marble Point, whereas Mt. Fleming soil contained few organisms and had no liquid soil moisture recorded. Seven hundred and twenty-eight clones and 71 bacterial isolates were screened by restriction fragment length polymorphisms, and representatives of those dominant ribotypes that occurred more than 3 times were sequenced. The dominant ribotypes grouped within the bacterial divisions Bacteroidetes, Actinobacteria, Proteobacteria, Thermus-Deinococcus, Acidobacteria, Firmicutes and Cyanobacteria. The closest relatives of the amplicon library clones or cultured bacteria include the genera Hymenobacter, Gillisia, Arthrobacter, Rubrobacter, Friedmanniella, Deinococcus and Leptolyngbya. Many of the clones and bacteria were most similar to others from Antarctic sources, in particular a cyanobacterium-dominated cryptoendolithic community in Beacon sandstone. Some ribotypes were more prevalent in drier soils of the Wright Valley, including relatives of Deinococcus, Rubrobacter and clone FBP460 from Beacon sandstone. Bacterial communities from Marble Point soils were more diverse than those of the Wright Valley. Very few bacteria were isolated from Mt. Fleming soil. (c) 2006 Elsevier Ltd. All rights reserved.</t>
  </si>
  <si>
    <t>Landcare Res, Hamilton, New Zealand; Univ Auckland, Sch Biol Sci, Auckland 1, New Zealand; Univ Waikato, Hamilton, New Zealand</t>
  </si>
  <si>
    <t>Landcare Research - New Zealand; University of Auckland; University of Waikato</t>
  </si>
  <si>
    <t>Aislabie, JM (corresponding author), Landcare Res, Private Bag 3127, Hamilton, New Zealand.</t>
  </si>
  <si>
    <t>aislabiej@landcareresearch.co.nz</t>
  </si>
  <si>
    <t>miyauchi, shingo/AAP-9669-2021; Lee, Kevin/Z-5368-2019</t>
  </si>
  <si>
    <t>miyauchi, shingo/0000-0002-0620-5547; Lee, Kevin/0000-0003-0210-2628</t>
  </si>
  <si>
    <t>10.1016/j.soilbio.2006.02.018</t>
  </si>
  <si>
    <t>WOS:000241585600005</t>
  </si>
  <si>
    <t>Arenz, BE; Held, BW; Jurgens, JA; Farrell, RL; Blanchette, RA</t>
  </si>
  <si>
    <t>Arenz, Brett E.; Held, Benjamin W.; Jurgens, Joel A.; Farrell, Roberta L.; Blanchette, Robert A.</t>
  </si>
  <si>
    <t>Fungal diversity in soils and historic wood from the Ross Sea Region of Antarctica</t>
  </si>
  <si>
    <t>Antarctica; fungi; biodiversity; historic huts; Ross Island; dry valleys; DGGE; polar</t>
  </si>
  <si>
    <t>EXPEDITION HUTS; VESTFOLD HILLS; IDENTIFICATION</t>
  </si>
  <si>
    <t>Microorganisms play a dominant role in Antarctic ecosystems, yet little is known about how fungal diversity differs at sites with considerable human activity as compared to those that are remote and relatively pristine. Ross Island, Antarctica is the site of three historic expedition huts left by early explorers to the South Pole, Robert F. Scott and. Ernest Shackleton. The fungal diversity of these wooden structures and surrounding soils was investigated with traditional culturing methods as well as with molecular methodology including denaturing gradient gel electrophoresis (DGGE) using the internal transcribed spacer (ITS) regions of ribosomal DNA for identification. From historic wood and artifact samples and soils adjacent to the huts as well as soil samples obtained from the Lake Fryxell Basin, a remote Dry Valley location, and remote sites at Mt. Fleming and the Allan Hills, 71 fungal taxa were identified. The historic huts and associated artifacts have been colonized and degraded by fungi to various extents. The most frequently isolated fungal genera from the historic woods sampled include Cadophora, Cladosporium and Geomyces. Similar genera were found in soil samples collected near the huts. Sampling of soils from locations in the Transantarctic Mountains and Lake Fryxell Basin at considerable distances from the huts and with different soil conditions revealed Cryptococcus spp., Epicoccum nigrum and Cladosporium cladosporioides as the most common fungi present and Cadophora species less commonly isolated. DGGE revealed 28 taxa, not detected by culturing including four taxa which possibly have not been previously described since they have less than 50% ITS sequence identity to any GenBank accessions. Fungi capable of causing degradation in the wood and artifacts associated with the expedition huts appear to be similar to those present in Antarctic soils, both near and at more remote locations. These species of fungi are likely indigenous to Antarctica and were apparently greatly influenced by the introduction of organic matter brought by early explorers. Considerable degradation has occurred in the wood and other materials by these fungi. (c) 2006 Elsevier Ltd. All rights reserved.</t>
  </si>
  <si>
    <t>Univ Minnesota, Dept Plant Pathol, St Paul, MN 55108 USA; Univ Waikato, Dept Biol Sci, Hamilton, New Zealand</t>
  </si>
  <si>
    <t>University of Minnesota System; University of Minnesota Twin Cities; University of Waikato</t>
  </si>
  <si>
    <t>Arenz, BE (corresponding author), Univ Minnesota, Dept Plant Pathol, 495 Borlaug Hall,1991 Upper Buford Circle, St Paul, MN 55108 USA.</t>
  </si>
  <si>
    <t>aren0058@umn.edu</t>
  </si>
  <si>
    <t>Blanchette, Robert A./0000-0003-2819-6511</t>
  </si>
  <si>
    <t>10.1016/j.soilbio.2006.01.016</t>
  </si>
  <si>
    <t>WOS:000241585600006</t>
  </si>
  <si>
    <t>Barrett, JE; Virginia, RA; Parsons, AN; Wall, DH</t>
  </si>
  <si>
    <t>Barrett, J. E.; Virginia, R. A.; Parsons, A. N.; Wall, D. H.</t>
  </si>
  <si>
    <t>Soil carbon turnover in the McMurdo Dry Valleys, Antarctica</t>
  </si>
  <si>
    <t>Antarctic Dry Valleys; carbon cycling; soil organic matter; soil respiration</t>
  </si>
  <si>
    <t>SOUTHERN VICTORIA LAND; ORGANIC-CARBON; TAYLOR VALLEY; TEMPERATURE-DEPENDENCE; GRASSLAND SOILS; NITROGEN; MATTER; DECOMPOSITION; CLIMATE; DESERT</t>
  </si>
  <si>
    <t>Terrestrial ecosystems of the Antarctic Dry Valleys are among the most inhospitable soil environments on Earth due to climate and substrate limitations over biota. These ecosystems present a challenge to understanding controls over carbon (C) cycling because likely sources of organic matter are 10(2)-10(4) yrs old and in situ soil respiration is typically less than 1.0 mu mol CO2 m(-2) s(-1). In this paper we describe an analytical approach to characterize kinetic pools of labile and recalcitrant soil C, and estimate C turnover in dry valley soils based upon these descriptions. Rate parameters for C turnover were derived from laboratory incubations conducted under a range of soil moistures and temperatures. We developed a C flux and reservoir model using these rate parameters along with published estimates of internal C transformations in soil microbial ecosystems, and a previously described primary production (NPP) model for Antarctic endolithic communities. We found that decomposition in 120 d incubations was well described by double-exponential rate kinetics, and that temperature, moisture and substrate availability significantly influenced observed rates of soil respiration. Simulations of soil C cycling based upon these parameters produced initially high rates of soil respiration following inputs of external organic matter, with mean residence times for C of 10-60 yrs. Soil organic C content equilibrated at 44-140% of observed levels within 1000 yrs. Simulations of equilibrium C were sensitive to NPP, microbial efficiency (Y), and the distribution of C inputs into labile and passive pools, indicating that more thorough investigation of microbial influence over the C cycle in dry valley soils is necessary. (c) 2006 Elsevier Ltd. All rights reserved.</t>
  </si>
  <si>
    <t>Dartmouth Coll, Environm Studies Program, Hanover, NH 03755 USA; Colorado State Univ, Nat Resource Ecol Lab, Ft Collins, CO 80523 USA</t>
  </si>
  <si>
    <t>Dartmouth College; Colorado State University</t>
  </si>
  <si>
    <t>john.e.barrett@dartmouth.edu</t>
  </si>
  <si>
    <t>Wall, Diana H/F-5491-2011; Barrett, John/D-5851-2016</t>
  </si>
  <si>
    <t>Barrett, John/0000-0002-7610-0505</t>
  </si>
  <si>
    <t>10.1016/j.soilbio.2006.03.025</t>
  </si>
  <si>
    <t>WOS:000241585600007</t>
  </si>
  <si>
    <t>Elberling, B; Gregorich, EG; Hopkins, DW; Sparrow, AD; Novis, P; Greenfield, LG</t>
  </si>
  <si>
    <t>Elberling, B.; Gregorich, E. G.; Hopkins, D. W.; Sparrow, A. D.; Novis, P.; Greenfield, L. G.</t>
  </si>
  <si>
    <t>Distribution and dynamics of soil organic matter in an Antarctic dry valley</t>
  </si>
  <si>
    <t>soil organic matter; carbon cycle; Antarctic soils; dry valley; soil respiration</t>
  </si>
  <si>
    <t>TAYLOR VALLEY; VICTORIA LAND; TEMPERATURE; RESPIRATION; DEPENDENCE; STREAMS; LAKES</t>
  </si>
  <si>
    <t>Terrestrial ecosystems in the Antarctic dry valleys function under extremely cold and dry climatic conditions that severely constrain C and N cycling and, like other polar regions, are likely to be sensitive to environmental change. To characterize the distribution and dynamics of soil organic C (SOC) and N in the various landscape elements of an Antarctic dry valley, we measured soil profile organic C and organic N stocks, inorganic N (NH4\-N and NO3-N), Soil CO2 effluxes, water contents and soil temperatures in the Garwood Valley, a relatively small valley in southern Victoria Land. We also conducted laboratory measurements of basal respiration on soils collected from the Valley. SOC and respiration rates were low and SOC was highly stratified in the soil profile, with the largest values observed near the surface. Significant variations of SOC stocks and Soil CO2 effluxes were observed between landscape elements and spatial variability was closely related to the distance from the lake, the major site of primary production. The fastest rate of SOC turnover (residence time c. 30 years) was found in the soils at the lake edge, slower rates were found in landscape elements close to the lake (c. 52-67 years), and the slowest rates in other landscape elements (c. 84-123 years) further away. A mass balance of organic C indicates that the quantity of C fixed in the lake, accumulated on the lake edge, exposed and subsequently displaced on a 14-year basis can explain the near-surface SOC turnover within the entire valley. We conclude that the displacement of organic matter derived from the lake is an important external source for the microbial processes in these soils at a landscape scale. However, further investigations are needed in order to evaluate the importance of displaced C compared to other nutrients (e.g. N) on the spatial control of observed soil respiration rates. (c) 2006 Elsevier Ltd. All rights reserved.</t>
  </si>
  <si>
    <t>Univ Copenhagen, Inst Geog, DK-1350 Copenhagen K, Denmark; Agr Canada, Cent Expt Farm, Ottawa, ON K1A 0C6, Canada; Univ Stirling, Sch Biol &amp; Environm Sci, Stirling FK9 4LA, Scotland; Univ Canterbury, Sch Biol Sci, Christchurch, New Zealand; Landcare Res, Lincoln 8152, New Zealand</t>
  </si>
  <si>
    <t>University of Copenhagen; Agriculture &amp; Agri Food Canada; University of Stirling; University of Canterbury; Landcare Research - New Zealand</t>
  </si>
  <si>
    <t>Elberling, B (corresponding author), Univ Copenhagen, Inst Geog, Oster Voldgade 10, DK-1350 Copenhagen K, Denmark.</t>
  </si>
  <si>
    <t>be@geogr.ku.dk</t>
  </si>
  <si>
    <t>Sparrow, Ashley/D-7872-2011; Gregorich, Edward G./J-9785-2012; Sparrow, Ashley/AAD-7709-2020; Elberling, Bo/M-4000-2014</t>
  </si>
  <si>
    <t>Sparrow, Ashley/0000-0003-0388-8255; Gregorich, Edward/0000-0003-3652-2946; Hopkins, David/0000-0003-0953-8643; Elberling, Bo/0000-0002-6023-885X; Novis, Phil/0000-0002-8802-4984</t>
  </si>
  <si>
    <t>10.1016/j.soilbio.2005.12.011</t>
  </si>
  <si>
    <t>WOS:000241585600009</t>
  </si>
  <si>
    <t>Fell, JW; Scorzetti, G; Connell, L; Craig, S</t>
  </si>
  <si>
    <t>Fell, Jack W.; Scorzetti, Gloria; Connell, Laurie; Craig, Scott</t>
  </si>
  <si>
    <t>Biodiversity of micro-eukaryotes in Antarctic Dry Valley soils with &lt;5% soil moisture</t>
  </si>
  <si>
    <t>less than 5% soil moisture; chlorophytes; ascomycetes; basidiomycetes; cercozoans; alveolates; stramenopiles</t>
  </si>
  <si>
    <t>TAYLOR VALLEY; COMMUNITY STRUCTURE; DIVERSITY; ENVIRONMENT; SYSTEMATICS; ECOSYSTEMS; NEMATODES; DESERT</t>
  </si>
  <si>
    <t>Soils in the Dry Valleys of Antarctica are considered to be among the world's most extreme environments. These soils are old, cold and dry with low contents of organic carbon and nitrogen. Habitats adjacent to water (lakes and ice melts) have significant biological activity as demonstrated by the presence of algal mats, lichens and small invertebrates, particularly nematodes, tardigrades and rotifers. In contrast, there are extensive areas in the Dry Valleys that are extremely dry with less than 5% moisture content. These soils are often salty and appear to be barren of life as they have a coarse texture due to their lack of plant organic material. In contrast, molecular techniques (DNA extraction from soils, cloning and rDNA sequence analysis) demonstrated the presence of a complex micro-eukaryotic food web whose structure and composition varied with moisture content and location. Micro-eukaryotic communities in soils with 0.2-1.3% moisture were represented by species of the yeast genus Trichosporon and an unidentified clade of micro-eukaryotes, whereas levels from 3.1% to 4.9% contained complex food webs including primary producers (chlorophytes and stramenopiles), symbionts (lichen associated fungi), saprophytes (fungi), predators (alveolates and cercozoans) and fungal nematode parasite/pathogens. The soils had a diversity of species (80 species from 15 sites) with a restricted number (3-21 species) at each site. The sensitive and measurable community structure of the low moisture Dry Valley soils provides an unparalleled opportunity to examine local and global environmental effects on micro-eukaryotic community dynamics with multiple trophic levels. (c) 2006 Elsevier Ltd. All rights reserved.</t>
  </si>
  <si>
    <t>Univ Miami, Rosenstiel Sch Marine &amp; Atmospher Sci, Key Biscayne, FL USA; Univ Maine, Sch Marine Sci, Orono, ME USA</t>
  </si>
  <si>
    <t>University of Maine System; University of Maine Orono</t>
  </si>
  <si>
    <t>Fell, JW (corresponding author), Univ Miami, Rosenstiel Sch Marine &amp; Atmospher Sci, 4600 Rickenbacker Causeway, Key Biscayne, FL USA.</t>
  </si>
  <si>
    <t>jfell@rsmas.miami.edu</t>
  </si>
  <si>
    <t>Connell, Laurie/0009-0001-3892-8643</t>
  </si>
  <si>
    <t>10.1016/j.soilbio.2006.01.014</t>
  </si>
  <si>
    <t>WOS:000241585600010</t>
  </si>
  <si>
    <t>Gregorich, EG; Hopkins, DW; Elberling, B; Sparrow, AD; Novis, P; Greenfield, LG; Rochette, P</t>
  </si>
  <si>
    <t>Gregorich, E. G.; Hopkins, D. W.; Elberling, B.; Sparrow, A. D.; Novis, P.; Greenfield, L. G.; Rochette, P.</t>
  </si>
  <si>
    <t>Emission of CO2, CH4 and N2O from lakeshore soils in an Antarctic dry valley</t>
  </si>
  <si>
    <t>carbon dioxide; methane; nitrous oxide; biogenic gases; gas emission; Antarctic dry valleys; polar desert; mineralization; microbial mat</t>
  </si>
  <si>
    <t>TAYLOR VALLEY; POLYGONAL TUNDRA; ORGANIC-MATTER; METHANE FLUXES; NITROUS-OXIDE; FREEZE-THAW; LENA DELTA; CARBON; ECOSYSTEM; WETLANDS</t>
  </si>
  <si>
    <t>We measured soil profile concentrations and emission Of CO2, CH4 and N2O from soils along a lakeshore in Garwood Valley, Antarctica, to assess the extent and biogeochemical significance of biogenic gas emission to C and N cycling processes. Simultaneous emission of all three gases from the same site indicated that aerobic and anaerobic processes occurred in different layers or different parts of each soil profile. The day and location of high gas concentrations in the soil profile corresponded to those having high gas emission, but the pattern of concentration with depth in the soil profile was not consistent across sites. That the highest gas concentrations were not always in the deepest soil layer suggests either limited production or gas diffusion in the deeper layers. Emission of CO2 was as high as 47 mu mol m(-2) min(-1) and was strongly related to soil temperature. Soil respiration differed significantly according to location on the lakeshore, suggesting that factors other than environmental variables, such as the amount and availability of O-2 and nutrients, play an important role in C mineralization processes in these soils. High surface emission (maximum: 15 mu mol m(-2) min(-1)) and profile gas concentration (maximum: 5780 mu L L-1) of CH4 were at levels comparable to those in resource-rich temperate ecosystems, indicating an active indigenous population of methanogenic organisms. Emission of NO was low and highly variable, but the presence of this gas and NO3 in some of the soils suggest that denitrification and nitrification occur there. No significant relationships between N2O emission and environmental variables were found. It appears that considerable C and N turnover occurs in the lakeshore soils, and accurate accounting will require measurements of aerobic and anaerobic mineralization. The production and emission of biogenic gases confirm the importance of these soils as hotspots of biological activity in the dry valleys and probable reservoirs of biological diversity. Crown Copyright (c) 2006 Published by Elsevier Ltd. All rights reserved.</t>
  </si>
  <si>
    <t>Agr &amp; Agri Food Canada, Cent Expt Farm, Ottawa, ON K1A 0C6, Canada; Univ Stirling, Sch Biol &amp; Environm Sci, Stirling FK9 4LA, Scotland; Univ Copenhagen, Inst Geog, DK-1350 Copenhagen K, Denmark; Univ Canterbury, Sch Biol Sci, Christchurch 1, New Zealand; Univ Nevada, Dept Nat Resources &amp; Environm Sci, Reno, NV 89512 USA; Landcare Res, Lincoln 8152, New Zealand; Agr &amp; Agri Food Canada, Soils &amp; Crops Res &amp; Dev Ctr, Ste Foy, PQ G1V 2J3, Canada</t>
  </si>
  <si>
    <t>Agriculture &amp; Agri Food Canada; University of Stirling; University of Copenhagen; University of Canterbury; Nevada System of Higher Education (NSHE); University of Nevada Reno; Landcare Research - New Zealand; Agriculture &amp; Agri Food Canada</t>
  </si>
  <si>
    <t>Gregorich, EG (corresponding author), Agr &amp; Agri Food Canada, Cent Expt Farm, Ottawa, ON K1A 0C6, Canada.</t>
  </si>
  <si>
    <t>gregoriche@agr.gc.ca</t>
  </si>
  <si>
    <t>Sparrow, Ashley/D-7872-2011; Sparrow, Ashley/AAD-7709-2020; Gregorich, Edward G./J-9785-2012; Elberling, Bo/M-4000-2014</t>
  </si>
  <si>
    <t>Sparrow, Ashley/0000-0003-0388-8255; Elberling, Bo/0000-0002-6023-885X; Novis, Phil/0000-0002-8802-4984; Hopkins, David/0000-0003-0953-8643; Gregorich, Edward/0000-0003-3652-2946</t>
  </si>
  <si>
    <t>10.1016/j.soilbio.2006.01.015</t>
  </si>
  <si>
    <t>WOS:000241585600011</t>
  </si>
  <si>
    <t>Hopkins, DW; Sparrow, AD; Elberling, B; Gregorich, EG; Novis, PM; Greenfield, LG; Tilston, EL</t>
  </si>
  <si>
    <t>Hopkins, D. W.; Sparrow, A. D.; Elberling, B.; Gregorich, E. G.; Novis, P. M.; Greenfield, L. G.; Tilston, E. L.</t>
  </si>
  <si>
    <t>Carbon, nitrogen and temperature controls on microbial activity in soils from an Antarctic dry valley</t>
  </si>
  <si>
    <t>C-13 nuclear magnetic resonance; activation energy; carbon mineralization; decomposition; glucose; glycine; lacustrine detritus; microbial mat; ammonium; polar desert; Q(10)</t>
  </si>
  <si>
    <t>TAYLOR VALLEY; ORGANIC-MATTER; VICTORIA LAND; DECOMPOSITION; GLUCOSE; TRANSFORMATIONS; MICROORGANISMS; COMMUNITIES; TURNOVER; BIOTA</t>
  </si>
  <si>
    <t>The Antarctic dry valleys are characterized by extremely low temperatures, dry conditions and lack of conspicuous terrestrial autotrophs, but the soils contain organic C, emit CO2 and support communities of heterotrophic soil organisms. We have examined the role of modern lacustrine detritus as a driver of soil respiration in the Garwood Valley, Antarctica, by characterizing the composition and mineralization of both lacustrine detritus and soil organic matter, and relating these properties to soil respiration and the abiotic controls on soil respiration. Laboratory mineralization of organic C in soils from different, geomorphically defined, landscape elements at 10 degrees C was comparable with decomposition of lacustrine detritus (mean residence times between 115 and 345 d for the detritus and 410 and 1670d for soil organic matter). The chemical composition of the detritus (C-to-N ratio = 9:1-12:1 and low alkyl-C-to-O-alkyl-C ratio in solid-state C-13 nuclear magnetic resonance spectroscopy) indicated that it was a labile, high quality resource for micro-organisms. Initial (0-6 d at 10 degrees C) respiratory responses to glucose, glycine and NH4Cl addition were positive in all the soils tested, indicating both C and N limitations on soil respiration. However, over the longer term (up to 48d at 10 degrees C) differential responses occurred. Glucose addition led to net C mineralization in most of the soils. In the lake shore soils, which contained accumulated lacustrine organic matter, glucose led to substantial priming of the decomposition of the indigenous organic matter, indicating a C or energetic limitation to mineralization in that soil. By contrast, over 48 d, glycine addition led to no net C mineralization in all soils except stream edge and lake shore soils, indicating either substantial assimilation of the added C (and N), or no detectable utilization of the glycine. The Q(10) values for basal respiration over the -0.5-20 degrees C temperature range were between 1.4 and 3.3 for the different soils, increasing to between 3.4 and 6.9 for glucose-induced respiration, and showed a temperature dependence with Q(10) increasing with declining temperature. Taken together, our results strongly support contemporaneous lacustrine detritus, blown from the lake shore, as an important driver of soil respiration in the Antarctic dry valley soils. (c) 2006 Elsevier Ltd. All rights reserved.</t>
  </si>
  <si>
    <t>Univ Stirling, Sch Biol &amp; Environm Sci, Stirling FK9 4LA, Scotland; Univ Nevada, Dept Nat Resources &amp; Environm Sci, Reno, NV 89512 USA; Univ Copenhagen, Inst Geog, DK-1350 Copenhagen K, Denmark; Agr Canada, Cent Expt Farm, Ottawa, ON K1A 0C6, Canada; Landcare Res, Lincoln 8152, New Zealand; Univ Canterbury, Sch Biol Sci, Christchurch, New Zealand</t>
  </si>
  <si>
    <t>University of Stirling; Nevada System of Higher Education (NSHE); University of Nevada Reno; University of Copenhagen; Agriculture &amp; Agri Food Canada; Landcare Research - New Zealand; University of Canterbury</t>
  </si>
  <si>
    <t>Hopkins, DW (corresponding author), Univ Stirling, Sch Biol &amp; Environm Sci, Stirling FK9 4LA, Scotland.</t>
  </si>
  <si>
    <t>d.w.hopkins@stir.ac.uk</t>
  </si>
  <si>
    <t>Sparrow, Ashley/D-7872-2011; Sparrow, Ashley/AAD-7709-2020; Gregorich, Edward G./J-9785-2012; Elberling, Bo/M-4000-2014; Tilston, Emma/D-2368-2010</t>
  </si>
  <si>
    <t>Sparrow, Ashley/0000-0003-0388-8255; Hopkins, David/0000-0003-0953-8643; Novis, Phil/0000-0002-8802-4984; Elberling, Bo/0000-0002-6023-885X; Tilston, Emma/0000-0001-5742-5024; Gregorich, Edward/0000-0003-3652-2946</t>
  </si>
  <si>
    <t>10.1016/j.soilbio.2006.01.012</t>
  </si>
  <si>
    <t>WOS:000241585600012</t>
  </si>
  <si>
    <t>Maslen, NR; Convey, P</t>
  </si>
  <si>
    <t>Maslen, N. R.; Convey, P.</t>
  </si>
  <si>
    <t>Nematode diversity and distribution in the southern maritime Antarctic - clues to history?</t>
  </si>
  <si>
    <t>nematode diversity; endemism; glacial refuge; diversity trends; Antarctic biogeography</t>
  </si>
  <si>
    <t>DRONNING-MAUD-LAND; ALEXANDER-ISLAND; EAST ANTARCTICA; FAMILY MONONCHIDAE; TERRESTRIAL BIOTA; ICE-FREE; N-GEN; SHELF; SOIL; POPULATIONS</t>
  </si>
  <si>
    <t>Nematode worms are one of the most important soil faunal groups in Antarctica. However, relatively little is known about their wider distribution, biogeography and history in the region, and taxonomic information remains confused or incomplete. Here, we hypothesise that the Alexander Island (southern maritime Antarctic) fauna includes elements that have survived (at least) the period of Pleistocene glaciation in situ, forming a regional centre of endemism and biodiversity hotspot. We describe nematological surveys carried out across a latitudinal gradient between 68 and 77 degrees S along the southern Antarctic Peninsula, comparing the data obtained with the maritime Antarctic fauna described in the few previous studies between northern Marguerite Bay and the South Orkney Islands (60-68 degrees S). In general, our survey supports previous findings of a lack of overlap at species level between the maritime and continental Antarctic biogeographical zones, with the large majority of specimens obtained from all survey sites being attributable to known maritime or new and currently endemic taxa. However, collections from Alexander Island, Alamode Island and the most westerly site sampled, Charcot Island, include specimens morphologically very close to two known continental Antarctic species, which may indicate a link between the two regions. The fauna obtained at the northern study sites (ca. 68 degrees S, Adelaide Island, Marguerite Bay) closely matches that described previously. However, in contrast with widely described patterns of decreasing diversity in other Antarctic biota, species richness increased markedly at locations on Alexander Island (ca. 72 degrees S), including a substantial element of undescribed species (50% of taxa across all locations, 40% of taxa found on Alexander Island). Finally, the most southerly samples obtained, from inland nunataks in Ellsworth Land (75-77 degrees S), indicate a fauna that does not include nematodes, which is exceptional not only in an Antarctic context but also for soils worldwide. (c) 2006 Elsevier Ltd. All rights reserved.</t>
  </si>
  <si>
    <t>Convey, P (corresponding author), British Antarctic Survey, NERC, High Cross,Madingley Rd, Cambridge CB3 0ET, England.</t>
  </si>
  <si>
    <t>p.convey@bas.ac.uk</t>
  </si>
  <si>
    <t>10.1016/j.soilbio.2005.12.007</t>
  </si>
  <si>
    <t>WOS:000241585600013</t>
  </si>
  <si>
    <t>Panicker, G; Aislabie, J; Bej, AK</t>
  </si>
  <si>
    <t>Panicker, Gitika; Aislabie, Jackie; Bej, Asim K.</t>
  </si>
  <si>
    <t>Analysis of aggregative behavior of Pseudomonas sp 30-3 isolated from Antarctic soil</t>
  </si>
  <si>
    <t>EPS; Antarctic soil; biodegradative microorganism; Pseudomonas sp; ELLA assay</t>
  </si>
  <si>
    <t>SEA-ICE; EXOPOLYSACCHARIDES; STRAIN; POLYSACCHARIDES; TEMPERATURE; AERUGINOSA; TOLERANCE</t>
  </si>
  <si>
    <t>Pseudomonas sp. 30-3, a toluene degrading microorganism isolated from oil-contaminated Antarctic soils, was shown to form aggregated flocs of cells when exposed to temperatures of 22 and 4 degrees C, with an increase in aggregation at 4 degrees C. This was speculated to be due to the secretion of an extracellular polymeric substance (EPS), thus protecting the organism from cold or frost damage. The flocs of cells were stained with the Live/Dead BacLight Bacterial Viability kit and found to be viable cells. The EPS was identified by lectin binding analysis to consist of N-acetyl-D-glucosamine and N-acetylneuraminic acid. An enzyme-linked lectinosorbent assay was also carried out to quantify the amount of EPS produced at 37, 22 and 4 degrees C. Results showed that at 37 degrees C the amount of EPS secreted was low, but there was little difference in the amount of EPS secreted at 22 and 4 degrees C by Pseudomonas sp. 30-3. (c) 2006 Elsevier Ltd. All rights reserved.</t>
  </si>
  <si>
    <t>Univ Alabama Birmingham, Dept Biol, Birmingham, AL 35294 USA; Landcare Res, Hamilton, New Zealand</t>
  </si>
  <si>
    <t>University of Alabama System; University of Alabama Birmingham; Landcare Research - New Zealand</t>
  </si>
  <si>
    <t>Bej, AK (corresponding author), Univ Alabama Birmingham, Dept Biol, 1300 Univ Blvd, Birmingham, AL 35294 USA.</t>
  </si>
  <si>
    <t>abej@uab.edu</t>
  </si>
  <si>
    <t>/0000-0003-3060-1088</t>
  </si>
  <si>
    <t>10.1016/j.soilbio.2006.02.006</t>
  </si>
  <si>
    <t>WOS:000241585600014</t>
  </si>
  <si>
    <t>Stevens, MI; Hogg, ID</t>
  </si>
  <si>
    <t>Stevens, Mark I.; Hogg, Ian D.</t>
  </si>
  <si>
    <t>Contrasting levels of mitochondrial DNA variability between mites (Penthalodidae) and springtails (Hypogastruridae) from the Trans-Antarctic Mountains suggest long-term effects of glaciation and life history on substitution rates, and speciation processes</t>
  </si>
  <si>
    <t>glacial refuge; Gomphiocephalus hodgsoni; habitat fragmentation; mtDNA; range expansion; Stereotydeus mollis</t>
  </si>
  <si>
    <t>VICTORIA LAND; PHYLOGENETIC-RELATIONSHIPS; GOMPHIOCEPHALUS-HODGSONI; GENETIC-VARIATION; ACARI; COLLEMBOLA; PROSTIGMATA; DIVERSITY; ORIBATIDA; SEQUENCES</t>
  </si>
  <si>
    <t>We carried out a comparative study using mtDNA (COI) for two free-living, endemic, terrestrial invertebrate taxa-the springtail Gomphiocephalus hodgsoni (Hypogastruridae) and the mite Stereotydeus mollis (Penthalodidae) collected from sites throughout Victoria Land and the Queen Maud Mountains, Antarctica. Maximum likelihood (ML) analyses revealed low levels of intraspecific substructuring for G. hodgsoni (&lt;= 2% sequence divergence) with groups mostly corresponding to geographic location. Other well-defined (morphological) species within the Hypogastruridae ranged from 15% to 22% sequence divergence relative to G. hodgsoni. In contrast, ML analyses for S. mollis showed considerably higher levels of intraspecific divergence (up to 18% sequence divergence), suggesting the presence of morphologically cryptic species. Other presently described mite species were also readily discernible (14-18% sequence divergence). Within both G. hodgsoni and S. mollis there were three main groups corresponding to: (1) Taylor Valley; (2) Beaufort Island; and (3) Ross Island together with the adjacent continental sites. We suggest that a common pattern of climatic and geological history over long-term glacial habitat fragmentation have determined the similar geographic and haplotype distributions found for both species. However, a large variation in substitution rate, around eight times slower for G. hodgsoni, compared to S. mollis, may be due to their different life history strategies on the Antarctic continent. (c) 2006 Elsevier Ltd. All rights reserved.</t>
  </si>
  <si>
    <t>Univ Waikato, Dept Biol Sci, Ctr Biodivers &amp; Ecol Res, Hamilton, New Zealand</t>
  </si>
  <si>
    <t>University of Waikato</t>
  </si>
  <si>
    <t>Stevens, MI (corresponding author), Massey Univ, Allan Wilson Ctr Mol Ecol &amp; Evolut, Private Bag 11-222, Palmerston North, New Zealand.</t>
  </si>
  <si>
    <t>M.I.Stevens@massey.ac.nz</t>
  </si>
  <si>
    <t>Hogg, Ian D./HNS-7393-2023</t>
  </si>
  <si>
    <t>Hogg, Ian D./0000-0002-6685-0089</t>
  </si>
  <si>
    <t>10.1016/j.soilbio.2006.01.009</t>
  </si>
  <si>
    <t>WOS:000241585600016</t>
  </si>
  <si>
    <t>Zhao, N; Takahashi, M</t>
  </si>
  <si>
    <t>Zhao, Nan; Takahashi, Masaaki</t>
  </si>
  <si>
    <t>Zonally symmetric normal modes associated with the AO/NAM under a seasonally varying background climatology</t>
  </si>
  <si>
    <t>TELLUS SERIES A-DYNAMIC METEOROLOGY AND OCEANOGRAPHY</t>
  </si>
  <si>
    <t>VARIABILITY</t>
  </si>
  <si>
    <t>This paper describes a numerical study of the role of zonally symmetric normal modes in the dynamics of the Arctic Oscillation (AO) or Northern Hemisphere Annular Mode (NAM) with seasonally varying climatological fields. A general theory of the mechanism for normal mode selection involving a fully developed non-linear interaction between different modes is proposed, and this explains not only the prominence of the AO/NAM in the Northern Hemisphere, but also the existence of the Antarctic Oscillation (AAO) in the Southern Hemisphere. Following this normal mode selection mechanism, zonally symmetric normal mode with spatial structures resembling those of the AO and AAO is extracted by use of ECMWF data and the linear operator of a two-dimensional model with a seasonally varying basic state. The interannual variability of this mode is also investigated in the light of this theory.</t>
  </si>
  <si>
    <t>Univ Tokyo, Ctr Climate Syst Res, Kashiwa, Chiba 2778568, Japan; Chinese Acad Meteorol Sci, State Key Lab Severe Weather, Beijing 100081, Peoples R China</t>
  </si>
  <si>
    <t>University of Tokyo; China Meteorological Administration; Chinese Academy of Meteorological Sciences (CAMS)</t>
  </si>
  <si>
    <t>Zhao, N (corresponding author), Univ Tokyo, Ctr Climate Syst Res, Kashiwa, Chiba 2778568, Japan.</t>
  </si>
  <si>
    <t>zhaon@cams.cma.gov.cn</t>
  </si>
  <si>
    <t>1600-0870</t>
  </si>
  <si>
    <t>TELLUS A</t>
  </si>
  <si>
    <t>Tellus Ser. A-Dyn. Meteorol. Oceanol.</t>
  </si>
  <si>
    <t>10.1111/j.1600-0870.2006.00204.x</t>
  </si>
  <si>
    <t>084JR</t>
  </si>
  <si>
    <t>WOS:000240529700006</t>
  </si>
  <si>
    <t>Roucoux, KH; Tzedakis, PC; de Abreu, L; Shackleton, NJ</t>
  </si>
  <si>
    <t>Roucoux, K. H.; Tzedakis, P. C.; de Abreu, L.; Shackleton, N. J.</t>
  </si>
  <si>
    <t>Climate and vegetation changes 180,000 to 345,000 years ago recorded in a deep-sea core off Portugal</t>
  </si>
  <si>
    <t>North Atlantic; Portugal; marine palynology; MIS 7; MIS 8; MIS 9; land-ocean correlation</t>
  </si>
  <si>
    <t>WESTERN IBERIAN MARGIN; NORTH-ATLANTIC OCEAN; CONTINENTAL-MARGIN; POLLEN TRANSPORT; LAST GLACIATION; PLEISTOCENE; VARIABILITY; HISTORY; RECONSTRUCTION; TERRESTRIAL</t>
  </si>
  <si>
    <t>A new high-resolution combined marine proxy-pollen sequence from the Portuguese margin, MD01-2443, enables direct comparison of ocean and ice volume changes with vegetation development in south-west Iberia during marine isotope stages (MIS) 7, 8 and 9. Changes in sea surface conditions on both orbital and millennial time scales are closely mirrored by forest extent, indicating a coherence of climate variability between the North Atlantic and south-west Iberia. Deglacial warming at the start of MIS 7 and 9 was interrupted by incursions of subpolar water masses at the site, accompanied by reversals in tree population expansion. During MIS 7e and 9e, the close relationship in timing and amplitude between vegetation and offshore conditions broke down: early forest collapse points to pronounced cooling and aridification on land which, although not accompanied by a change in water masses at the Portuguese margin, appears to have coincided with abrupt decreases in atmospheric methane concentration recorded in Antarctic ice cores. The most extreme glacial conditions of MIS 8 occurred during the early part, followed by an interval of warmer conditions and tree population expansion similar to 263 ka. This has sometimes been considered as indicating an early deglaciation, but the data presented here show that it was distinct from Termination III, which occurred later, in line with Milankovitch forcing. A sub-orbital oscillation in both isotopic and pollen records is observed at the end of MIS 7 (ca. 184 ka) which appears to be coeval with a recently identified sea level high stand. (c) 2006 Elsevier B.V. All rights reserved.</t>
  </si>
  <si>
    <t>Univ Leeds, Sch Geog, Earth &amp; Biosphere Inst, Leeds LS2 9JT, W Yorkshire, England; Univ Cambridge, Dept Earth Sci, Godwin Lab, Cambridge CB2 3SA, England</t>
  </si>
  <si>
    <t>University of Leeds; University of Cambridge</t>
  </si>
  <si>
    <t>Roucoux, KH (corresponding author), Univ Leeds, Sch Geog, Earth &amp; Biosphere Inst, Leeds LS2 9JT, W Yorkshire, England.</t>
  </si>
  <si>
    <t>k.roucoux@geog.leeds.ac.uk</t>
  </si>
  <si>
    <t>Tzedakis, Polychronis C/J-1894-2012</t>
  </si>
  <si>
    <t>Roucoux, Katherine/0000-0001-6757-7267; Tzedakis, Polychronis/0000-0001-6072-1166</t>
  </si>
  <si>
    <t>SEP 30</t>
  </si>
  <si>
    <t>10.1016/j.epsl.2006.07.005</t>
  </si>
  <si>
    <t>104ML</t>
  </si>
  <si>
    <t>WOS:000241962400013</t>
  </si>
  <si>
    <t>Gangopadhyay, A</t>
  </si>
  <si>
    <t>Gangopadhyay, Abhijit</t>
  </si>
  <si>
    <t>Re-visiting the tectonics of the oceanic intraplate earthquake of March 25, 1998 (M 8.1) in the Balleny sea, offshore Antarctica</t>
  </si>
  <si>
    <t>oceanic intraplate earthquakes; intersecting faults; numerical modeling; stress concentration; antarctic plate</t>
  </si>
  <si>
    <t>PLATE EARTHQUAKE; MOMENT TENSOR; RUPTURE; STRESS; AFTERSHOCKS; SEISMICITY; MODEL</t>
  </si>
  <si>
    <t>The Antarctic plate earthquake of March 25, 1998, M 8.1, and its aftershocks, are re-visited, to evaluate the role of the associated tectonics in stress concentration due to ambient horizontal crustal motion caused by deglaciation in Antarctica. Using a numerical technique called the Distinct Element Method, a two-dimensional, structural model of the epicentral region is developed, and tectonically loaded for a year along the inferred direction of the motion. A spatial correlation is observed between the resulting locations of relatively high shear stresses, and those of the main shock and associated aftershocks. In particular, seismicity is concentrated at and near the intersections of the main fault, Carey and Gambier fracture zones, where the shear stresses are significantly elevated, and whose sign duplicate the inferred sense of movement along them. The modeling results suggest that stress concentrations near pre-existing, intersecting fault and fracture zones, due to a possible deglaciation induced horizontal crustal force, may have been a cause of this enigmatic earthquake. (c) 2006 Elsevier B.V. All rights reserved.</t>
  </si>
  <si>
    <t>Univ Texas, Inst Geophys, John A &amp; Katherine G Jackson Sch Geosci, Austin, TX 78759 USA</t>
  </si>
  <si>
    <t>University of Texas System; University of Texas Austin</t>
  </si>
  <si>
    <t>Gangopadhyay, A (corresponding author), Univ Texas, Inst Geophys, John A &amp; Katherine G Jackson Sch Geosci, 4412 Spicewood Springs Rd Bldg,600, Austin, TX 78759 USA.</t>
  </si>
  <si>
    <t>abhijit@ig.utexas.edu</t>
  </si>
  <si>
    <t>Gangopadhyay, Abhijit/B-9078-2008</t>
  </si>
  <si>
    <t>10.1016/j.epsl.2006.07.030</t>
  </si>
  <si>
    <t>WOS:000241962400024</t>
  </si>
  <si>
    <t>van den Broeke, M; van de Berg, WJ; van Meijgaard, E; Reijmer, C</t>
  </si>
  <si>
    <t>van den Broeke, Michiel; van de Berg, Willem Jan; van Meijgaard, Erik; Reijmer, Carleen</t>
  </si>
  <si>
    <t>Identification of Antarctic ablation areas using a regional atmospheric climate model</t>
  </si>
  <si>
    <t>SURFACE MASS-BALANCE; DRONNING MAUD-LAND; BLUE-ICE AREAS; BLOWING SNOW; SNOWDRIFT SUBLIMATION; TEMPORAL VARIABILITY; KATABATIC WINDS; MELT; TEMPERATURE; PENINSULA</t>
  </si>
  <si>
    <t>The occurrence of Antarctic ablation areas in Dronning Maud Land, the Lambert Glacier Basin, Victoria Land, the Transantarctic Mountains and the Antarctic Peninsula is realistically predicted by the regional atmospheric climate model RACMO2/ ANT, with snowdrift- related processes calculated offline. Antarctic ablation areas are characterized by a low solid precipitation flux in combination with strong sublimation, snowdrift erosion and/ or melt. The strong interaction between atmospheric circulation and topography plays a decisive role in the precipitation distribution and hence that of ablation areas. Three types of Antarctic ablation areas can be distinguished, all occurring in dry regions: Type 1 is the erosion- driven ablation area, caused by 1- D and/ or 2- D divergence in the katabatic wind field at high elevations ( 2000 - 3200 m asl). Type 2 is the sublimation- driven ablation area. This type occurs at lower elevations (&lt; 2000 m) preferably at the foot of steep topographic barriers, where temperature and wind speed are high and relative humidity low. Type 3 represents the melt- driven ablation area, occurring in the northern Antarctic Peninsula. Combinations of types 1/ 2 and 2/ 3 are possible. Over the period considered here ( 1980 - 2004), no significant trend is found in the total area covered by Antarctic ablation areas, which equals about 2% of the total ice sheet surface ( including ice shelves).</t>
  </si>
  <si>
    <t>Univ Utrecht, Inst Marine &amp; Atmospher Res Utrecht, NL-3508 TA Utrecht, Netherlands; Royal Netherlands Meteorol Inst, NL-3730 AE De Bilt, Netherlands</t>
  </si>
  <si>
    <t>Utrecht University; Royal Netherlands Meteorological Institute</t>
  </si>
  <si>
    <t>van den Broeke, M (corresponding author), Univ Utrecht, Inst Marine &amp; Atmospher Res Utrecht, POB 8005, NL-3508 TA Utrecht, Netherlands.</t>
  </si>
  <si>
    <t>van de Berg, Willem Jan/H-4385-2011; Reijmer, Carleen H/G-8736-2011; Van den Broeke, Michiel R./F-7867-2011</t>
  </si>
  <si>
    <t>van de Berg, Willem Jan/0000-0002-8232-2040; Reijmer, Carleen H/0000-0001-8299-3883; Van den Broeke, Michiel R./0000-0003-4662-7565</t>
  </si>
  <si>
    <t>D18</t>
  </si>
  <si>
    <t>D18110</t>
  </si>
  <si>
    <t>10.1029/2006JD007127</t>
  </si>
  <si>
    <t>090IX</t>
  </si>
  <si>
    <t>WOS:000240945800004</t>
  </si>
  <si>
    <t>Wilchinsky, AV; Feltham, DL</t>
  </si>
  <si>
    <t>Wilchinsky, Alexander V.; Feltham, Daniel L.</t>
  </si>
  <si>
    <t>Modelling the rheology of sea ice as a collection of diamond-shaped floes</t>
  </si>
  <si>
    <t>JOURNAL OF NON-NEWTONIAN FLUID MECHANICS</t>
  </si>
  <si>
    <t>sea ice; stress; anisotropy</t>
  </si>
  <si>
    <t>ANISOTROPIC MODEL; PACK ICE; DYNAMICS</t>
  </si>
  <si>
    <t>In polar oceans, seawater freezes to form a layer of sea ice of several metres thickness that can cover up to 8% of the Earth's surface. The modelled sea ice cover state is described by thickness and orientational distribution of interlocking, anisotropic diamond-shaped ice floes delineated by slip lines, as supported by observation. The purpose of this study is to develop a set of equations describing the mean-field sea ice stresses that result from interactions between the ice floes and the evolution of the ice floe orientation, which are simple enough to be incorporated into a climate model. The sea ice stress caused by a deformation of the ice cover is determined by employing an existing kinematic model of ice floe motion, which enables us to calculate the forces acting on the ice floes due to crushing into and sliding past each other, and then by averaging over all possible floe orientations. We describe the orientational floe distribution with a structure tensor and propose an evolution equation for this tensor that accounts for rigid body rotation of the floes, their apparent re-orientation due to new slip line formation, and change of shape of the floes due to freezing and melting. The form of the evolution equation proposed is motivated by laboratory observations of sea ice failure under controlled conditions. Finally, we present simulations of the evolution of sea ice stress and floe orientation for several imposed flow types. Although evidence to test the simulations against is lacking, the simulations seem physically reasonable. (c) 2006 Elsevier B.V. All rights reserved.</t>
  </si>
  <si>
    <t>UCL, Dept Earth Sci, Ctr Polar Observ &amp; Modelling, London WC1E 6BT, England; Kazan VI Lenin State Univ, Inst Math &amp; Mech, Kazan 420008, Russia; British Antarctic Survey, Cambridge CB3 0ET, England</t>
  </si>
  <si>
    <t>University of London; University College London; Kazan Federal University; UK Research &amp; Innovation (UKRI); Natural Environment Research Council (NERC); NERC British Antarctic Survey</t>
  </si>
  <si>
    <t>Wilchinsky, AV (corresponding author), UCL, Dept Earth Sci, Ctr Polar Observ &amp; Modelling, Gower St, London WC1E 6BT, England.</t>
  </si>
  <si>
    <t>aw@cpom.ucl.ac.uk</t>
  </si>
  <si>
    <t>Natural Environment Research Council [bas010013] Funding Source: researchfish; NERC [bas010013] Funding Source: UKRI</t>
  </si>
  <si>
    <t>0377-0257</t>
  </si>
  <si>
    <t>1873-2631</t>
  </si>
  <si>
    <t>J NON-NEWTON FLUID</t>
  </si>
  <si>
    <t>J. Non-Newton. Fluid Mech.</t>
  </si>
  <si>
    <t>10.1016/j.jnnfm.2006.05.001</t>
  </si>
  <si>
    <t>Mechanics</t>
  </si>
  <si>
    <t>088YE</t>
  </si>
  <si>
    <t>WOS:000240846200003</t>
  </si>
  <si>
    <t>Mortazavi, B; Chanton, JP; Smith, MC</t>
  </si>
  <si>
    <t>Mortazavi, Behzad; Chanton, Jeffrey P.; Smith, Matthew C.</t>
  </si>
  <si>
    <t>Influence of 13C-enriched foliage respired CO2 on δ13C of ecosystem-respired CO2</t>
  </si>
  <si>
    <t>CARBON-CYCLE; ATMOSPHERIC CO2; ISOTOPIC DISCRIMINATION; TERRESTRIAL VEGETATION; TALLGRASS PRAIRIE; ORGANIC-MATTER; ANTARCTIC ICE; FOREST; DARK; AIR</t>
  </si>
  <si>
    <t>The delta C-13 of slash pine foliage dark- respired CO2 ( delta C-13(F)) was measured at temperatures ranging from 6.6 degrees to 30 degrees C. The delta C-13(F) was C-13- enriched initially after dark by as much as 9 parts per thousand and declined toward an asymptotic value after a few hours in the dark. Maximum enrichment in delta C-13(F) occurred at the lowest temperatures and the decline in delta C-13(F) toward the asymptotic value took longer at lower temperatures. The effect of this temporal variation in foliage enriched CO2 on determination of the delta(CO2)-C-13 of ecosystem respiration ( delta C-13(R)) was investigated using two approaches by measuring the nighttime CO2 concentration and delta(CO2)-C-13 ratio in a 30- m- tall pine forest in Florida, United States. The first approach ( time series) consisted of making measurements at a single height at midcanopy from 1 hour after sunset until 0200 local time. The second approach ( profile) consisted of making measurements at multiple heights from ground level to the top of the canopy synoptically prior to dawn. For each method a Keeling plot was used to estimate the delta C-13(R). The delta C-13(R) values determined with the time series were C-13-enriched relative to those determined from profiles on average by 1.0 parts per thousand and by as much as 3.1 parts per thousand. A mass balance was used to determine the impact of the nonconstancy of delta C-F on the overall Keeling plot intercepts. For the months examined, results indicate that ( 1) the enrichment in the Keeling intercepts determined from time series compared to those determined from profiles was consistent with the addition of nighttime foliage respired C-13- enriched CO2 and ( 2) Keeling plots determined from midcanopy heights appear linear despite the addition of temporally variable source delta(CO2)-C-13 ( range: 4 parts per thousand). A common approach that specifies the time ( predawn) and spatial distribution ( multiple heights) for CO2 collection is suggested to improve intercomparisons of delta C-13(R) from different ecosystems.</t>
  </si>
  <si>
    <t>Florida State Univ, Dept Oceanog, Tallahassee, FL 32306 USA</t>
  </si>
  <si>
    <t>State University System of Florida; Florida State University</t>
  </si>
  <si>
    <t>Mortazavi, B (corresponding author), Florida State Univ, Dept Oceanog, Tallahassee, FL 32306 USA.</t>
  </si>
  <si>
    <t>mortazavi@ocean.fsu.edu</t>
  </si>
  <si>
    <t>Smith, Matthew C/B-6787-2011; Mortazavi, Behzad/ABC-4483-2020; Mortazavi, Behzad/D-3864-2013</t>
  </si>
  <si>
    <t>Mortazavi, Behzad/0000-0002-1912-1940; Mortazavi, Behzad/0000-0002-1912-1940</t>
  </si>
  <si>
    <t>SEP 29</t>
  </si>
  <si>
    <t>GB3029</t>
  </si>
  <si>
    <t>10.1029/2005GB002650</t>
  </si>
  <si>
    <t>090IS</t>
  </si>
  <si>
    <t>WOS:000240945200002</t>
  </si>
  <si>
    <t>Hudson, SR; Warren, SG; Brandt, RE; Grenfell, TC; Six, D</t>
  </si>
  <si>
    <t>Hudson, Stephen R.; Warren, Stephen G.; Brandt, Richard E.; Grenfell, Thomas C.; Six, Delphine</t>
  </si>
  <si>
    <t>Spectral bidirectional reflectance of Antarctic snow: Measurements and parameterization</t>
  </si>
  <si>
    <t>RADIATIVE-TRANSFER; SOLAR-RADIATION; SEA-ICE; SURFACE; ATMOSPHERE; MODEL; ULTRAVIOLET; ALGORITHM; GREENLAND; ALBEDO</t>
  </si>
  <si>
    <t>The bidirectional reflectance distribution function ( BRDF) of snow was measured from a 32- m tower at Dome C, at latitude 75 degrees S on the East Antarctic Plateau. These measurements were made at 96 solar zenith angles between 51 degrees and 87 degrees and cover wavelengths 350 - 2400 nm, with 3- to 30- nm resolution, over the full range of viewing geometry. The BRDF at 900 nm had previously been measured at the South Pole; the Dome C measurement at that wavelength is similar. At both locations the natural roughness of the snow surface causes the anisotropy of the BRDF to be less than that of flat snow. The inherent BRDF of the snow is nearly constant in the high- albedo part of the spectrum ( 350 - 900 nm), but the angular distribution of reflected radiance becomes more isotropic at the shorter wavelengths because of atmospheric Rayleigh scattering. Parameterizations were developed for the anisotropic reflectance factor using a small number of empirical orthogonal functions. Because the reflectance is more anisotropic at wavelengths at which ice is more absorptive, albedo rather than wavelength is used as a predictor in the near infrared. The parameterizations cover nearly all viewing angles and are applicable to the high parts of the Antarctic Plateau that have small surface roughness and, at viewing zenith angles less than 55 degrees, elsewhere on the plateau, where larger surface roughness affects the BRDF at larger viewing angles. The root- mean- squared error of the parameterized reflectances is between 2% and 4% at wavelengths less than 1400 nm and between 5% and 8% at longer wavelengths.</t>
  </si>
  <si>
    <t>Univ Washington, Dept Atmospher Sci, Seattle, WA 98195 USA; Univ Grenoble 1, CNRS, Lab Glaciol &amp; Geophys Environm, F-38402 St Martin Dheres, France</t>
  </si>
  <si>
    <t>University of Washington; University of Washington Seattle; Centre National de la Recherche Scientifique (CNRS); Communaute Universite Grenoble Alpes; Universite Grenoble Alpes (UGA)</t>
  </si>
  <si>
    <t>Hudson, SR (corresponding author), Univ Washington, Dept Atmospher Sci, Box 351640, Seattle, WA 98195 USA.</t>
  </si>
  <si>
    <t>hudson@atmos.washington.edu; sgw@atmos.washington.edu; brandt@atmos.washington.edu; tcg@atmos.washington.edu; six@lgge.obs.ujf-grenoble.fr</t>
  </si>
  <si>
    <t>Hudson, Stephen/ABD-9923-2020</t>
  </si>
  <si>
    <t>Hudson, Stephen/0000-0002-6498-9167</t>
  </si>
  <si>
    <t>SEP 28</t>
  </si>
  <si>
    <t>D18106</t>
  </si>
  <si>
    <t>10.1029/2006JD007290</t>
  </si>
  <si>
    <t>090IV</t>
  </si>
  <si>
    <t>WOS:000240945600005</t>
  </si>
  <si>
    <t>Clilverd, MA; Clarke, E; Ulich, T; Rishbeth, H; Jarvis, MJ</t>
  </si>
  <si>
    <t>Clilverd, Mark A.; Clarke, Ellen; Ulich, Thomas; Rishbeth, Henry; Jarvis, Martin J.</t>
  </si>
  <si>
    <t>Predicting solar cycle 24 and beyond</t>
  </si>
  <si>
    <t>SPACE WEATHER-THE INTERNATIONAL JOURNAL OF RESEARCH AND APPLICATIONS</t>
  </si>
  <si>
    <t>SOLAR-ACTIVITY FORECAST; ATMOSPHERIC C-14; MAGNETIC-FIELD; CYCLE; SUNSPOT; RADIOCARBON; VARIABILITY; CLIMATE; SPACE</t>
  </si>
  <si>
    <t>We use a model for sunspot number using low- frequency solar oscillations, with periods 22, 53, 88, 106, 213, and 420 years modulating the 11- year Schwabe cycle, to predict the peak sunspot number of cycle 24 and for future cycles, including the period around 2100 A. D. We extend the earlier work of Damon and Jirikowic ( 1992) by adding a further long- period component of 420 years. Typically, the standard deviation between the model and the peak sunspot number in each solar cycle from 1750 to 1970 is +/- 34. The peak sunspot prediction for cycles 21, 22, and 23 agree with the observed sunspot activity levels within the error estimate. Our peak sunspot prediction for cycle 24 is significantly smaller than cycle 23, with peak sunspot numbers predicted to be 42 +/- 34. These predictions suggest that a period of quiet solar activity is expected, lasting until similar to 2030, with less disruption to satellite orbits, satellite lifetimes, and power distribution grids and lower risk of spacecraft failures and radiation dose to astronauts. Our model also predicts a recovery during the middle of the century to more typical solar activity cycles with peak sunspot numbers around 120. Eventually, the superposition of the minimum phase of the 105- and 420- year cycles just after 2100 leads to another period of significantly quieter solar conditions. This lends some support to the prediction of low solar activity in 2100 made by Clilverd et al. ( 2003).</t>
  </si>
  <si>
    <t>British Antarctic Survey, NERC, Cambridge CB3 0ET, England; British Geol Survey, Nat Environm Res Council, Edinburgh EH9 3LA, Midlothian, Scotland; Univ Oulu, SOdankyla Geophys Observ, FIN-99700 Sodankyla, Finland; Univ Southampton, Sch Phys &amp; Astron, Southampton SO17 1BJ, Hants, England</t>
  </si>
  <si>
    <t>UK Research &amp; Innovation (UKRI); Natural Environment Research Council (NERC); NERC British Antarctic Survey; UK Research &amp; Innovation (UKRI); Natural Environment Research Council (NERC); NERC British Geological Survey; University of Oulu; University of Southampton</t>
  </si>
  <si>
    <t>Clilverd, MA (corresponding author), British Antarctic Survey, NERC, High Cross,Madingley Rd, Cambridge CB3 0ET, England.</t>
  </si>
  <si>
    <t>macl@bas.ac.uk; ecla@bgs.ac.uk; thu@sgo.fi; hr@phys.soton.ac.uk; mjja@bas.ac.uk</t>
  </si>
  <si>
    <t>NERC [bgs010024, bas010022] Funding Source: UKRI; Natural Environment Research Council [bgs010024, bas010022] Funding Source: researchfish</t>
  </si>
  <si>
    <t>1542-7390</t>
  </si>
  <si>
    <t>SPACE WEATHER</t>
  </si>
  <si>
    <t>Space Weather</t>
  </si>
  <si>
    <t>S09005</t>
  </si>
  <si>
    <t>10.1029/2005SW000207</t>
  </si>
  <si>
    <t>Astronomy &amp; Astrophysics; Geochemistry &amp; Geophysics; Meteorology &amp; Atmospheric Sciences</t>
  </si>
  <si>
    <t>093XT</t>
  </si>
  <si>
    <t>WOS:000241204300001</t>
  </si>
  <si>
    <t>Randall, CE; Harvey, VL; Singleton, CS; Bernath, PF; Boone, CD; Kozyra, JU</t>
  </si>
  <si>
    <t>Randall, C. E.; Harvey, V. L.; Singleton, C. S.; Bernath, P. F.; Boone, C. D.; Kozyra, J. U.</t>
  </si>
  <si>
    <t>Enhanced NOx in 2006 linked to strong upper stratospheric Arctic vortex</t>
  </si>
  <si>
    <t>OZONE</t>
  </si>
  <si>
    <t>Measurements from the Atmospheric Chemistry Experiment show pronounced downward transport of NOx ( NO+ NO2) to the Arctic stratosphere in Feb - Mar 2006. NOx mixing ratios in the upper stratosphere were 3 - 6 times larger than observed previously in either the Arctic or Antarctic, aside from the extraordinary winter of 2003 - 2004. There was only minimal geomagnetic activity in late 2005 and early 2006, however, suggesting that NOx produced via energetic particle precipitation was not significantly elevated. On the other hand, the Arctic polar vortex at stratopause altitudes in Feb 2006 was exceptionally strong, implying greater confinement of air in the polar night. Carbon monoxide data also indicate enhanced confined descent of air from the mesosphere. These results confirm that impacts of EPP on the atmosphere are modulated by meteorological conditions; this has implications for understanding interannual variability and trends in stratospheric NOx and ozone.</t>
  </si>
  <si>
    <t>Univ Colorado, Atmospher &amp; Space Phys Lab, Boulder, CO 80309 USA; Univ Colorado, Dept Atmospher &amp; Ocean Sci, Boulder, CO 80309 USA; Univ Waterloo, Dept Chem, Waterloo, ON N2L 3G1, Canada; Univ Michigan, Dept Atmospher Ocean &amp; Space Sci, Ann Arbor, MI 48109 USA</t>
  </si>
  <si>
    <t>University of Colorado System; University of Colorado Boulder; University of Colorado System; University of Colorado Boulder; University of Waterloo; University of Michigan System; University of Michigan</t>
  </si>
  <si>
    <t>Randall, CE (corresponding author), Univ Colorado, Atmospher &amp; Space Phys Lab, Campus Box 392, Boulder, CO 80309 USA.</t>
  </si>
  <si>
    <t>cora.randall@lasp.colorado.edu</t>
  </si>
  <si>
    <t>Bernath, Peter F/B-6567-2012; RANDALL, CORA/L-8760-2014; HARVEY, V LYNN/M-3995-2017</t>
  </si>
  <si>
    <t>Bernath, Peter F/0000-0002-1255-396X; RANDALL, CORA/0000-0002-4313-4397; HARVEY, V LYNN/0000-0002-7928-0804</t>
  </si>
  <si>
    <t>SEP 27</t>
  </si>
  <si>
    <t>L18811</t>
  </si>
  <si>
    <t>10.1029/2006GL027160</t>
  </si>
  <si>
    <t>090ID</t>
  </si>
  <si>
    <t>WOS:000240943500004</t>
  </si>
  <si>
    <t>Benson, CM; Drdla, K; Nedoluha, GE; Shettle, EP; Alfred, J; Hoppel, KW</t>
  </si>
  <si>
    <t>Benson, C. M.; Drdla, K.; Nedoluha, G. E.; Shettle, E. P.; Alfred, J.; Hoppel, K. W.</t>
  </si>
  <si>
    <t>Polar stratospheric clouds in the 1998-2003 Antarctic vortex: Microphysical modeling and Polar Ozone and Aerosol Measurement (POAM) III observations</t>
  </si>
  <si>
    <t>ICE; EVAPORATION; CONDENSATION; DEHYDRATION; WINTER; VALIDATION; SIZE; H2O</t>
  </si>
  <si>
    <t>The Integrated Microphysics and Aerosol Chemistry on Trajectories ( IMPACT) model is used to study polar stratospheric cloud ( PSC) formation and evolution in the Antarctic vortex. The model is applied to individual air parcel trajectories driven by UK Met Office ( UKMO) wind and temperature fields. The IMPACT model calculates the parcel microphysics, including the formation and sedimentation of ice, nitric acid trihydrate ( NAT), sulfuric acid tetrahydrate ( SAT), and supercooled ternary solution ( STS) aerosols. Model results are validated by comparison with data obtained by the Polar Ozone and Aerosol Measurement ( POAM) III solar occultation instrument and are examined for 6 years of POAM data ( 1998 - 2003). Comparisons of POAM water vapor and aerosol extinction measurements to the model results help to constrain three microphysical parameters influencing the formation and growth of both type I and type II PSCs. Principally, measurements of aerosol extinction prove to be valuable in differentiating model runs; the relationship of aerosol extinction to temperature is determined by the various particle types as they form and grow. Comparison of IMPACT calculations of this relationship to POAM measurements suggests that the initial fraction of nuclei available for heterogeneous NAT freezing is approximately 0.02% of all aerosols. Constraints are also placed on the accommodation coefficient of ice and the NAT- ice lattice compatibility. However, these two parameters have similar effects on the extinction- temperature relationship, and thus a range of values are permissible for each.</t>
  </si>
  <si>
    <t>USN, Res Lab, Washington, DC 20375 USA; NASA, Ames Res Ctr, Moffett Field, CA 94035 USA; Computat Phys Inc, Springfield, VA 22151 USA</t>
  </si>
  <si>
    <t>United States Department of Defense; United States Navy; Naval Research Laboratory; National Aeronautics &amp; Space Administration (NASA); NASA Ames Research Center; Computational Physics Inc</t>
  </si>
  <si>
    <t>Benson, CM (corresponding author), NASA, Global Modeling &amp; Assimilat Off, Goddard Space Flight Ctr, Code 610-1,8800 Greenbelt Rd, Greenbelt, MD 20771 USA.</t>
  </si>
  <si>
    <t>benson@gmao.gsfc.nasa.gov</t>
  </si>
  <si>
    <t>SEP 26</t>
  </si>
  <si>
    <t>D18206</t>
  </si>
  <si>
    <t>10.1029/2005JD006948</t>
  </si>
  <si>
    <t>090IT</t>
  </si>
  <si>
    <t>WOS:000240945300005</t>
  </si>
  <si>
    <t>Watanabe, S; Sato, K; Takahashi, M</t>
  </si>
  <si>
    <t>Watanabe, Shingo; Sato, Kaoru; Takahashi, Masaaki</t>
  </si>
  <si>
    <t>A general circulation model study of the orographic gravity waves over Antarctica excited by katabatic winds</t>
  </si>
  <si>
    <t>POLAR STRATOSPHERIC CLOUDS; MOUNTAIN WAVES; SIMULATION; DRAG; CHEMISTRY; SURFACE; ENERGY</t>
  </si>
  <si>
    <t>In this study, we simulated orographic gravity waves ( OGWs) over Antarctica using a T213L250 general circulation model ( GCM). The GCM has a fine vertical resolution of 300 m throughout the middle atmosphere. The simulation was run for a 1- year period. Results from 21 - 28 June were primarily considered. OGWs are excited by katabatic winds that travel down the surface slopes of the Antarctic ice sheet. A strong eastward katabatic wind blows over the west coast of the Ross Sea at the approach of the synoptic- scale upper tropospheric westerly jets. A quasi- stationary OGW is then excited above the coast and propagates upward into the mesosphere. An OGW appears sporadically during the Antarctic winter and spring. Its amplitude is determined by the strength of the eastward katabatic wind. Dissipation of OGWs within the middle atmosphere results in a localized deceleration of westerly winds, greater than - 30 m s(-1) d(-1). This in turn modifies the horizontal circulation in the polar vortex. Strong vertical mixing occurs within the mesosphere and is associated with wave breaking. Large temperature fluctuations associated with the OGWs affect the formation or suppression of polar stratospheric clouds in the lower stratosphere. Katabatic wind excitation is the most powerful source of gravity waves over Antarctica around the time of the winter solstice.</t>
  </si>
  <si>
    <t>Japan Agcy Marine Earth Sci &amp; Technol, Frontier Res Ctr Global Change, Kanazawa Ku, Yokohama, Kanagawa 2360001, Japan; Univ Tokyo, Grad Sch Sci, Dept Earth &amp; Planetary Sci, Tokyo 1130033, Japan; Univ Tokyo, Ctr Climate Syst Res, Tokyo, Japan</t>
  </si>
  <si>
    <t>Japan Agency for Marine-Earth Science &amp; Technology (JAMSTEC); University of Tokyo; University of Tokyo</t>
  </si>
  <si>
    <t>Watanabe, S (corresponding author), Japan Agcy Marine Earth Sci &amp; Technol, Frontier Res Ctr Global Change, Kanazawa Ku, 3173-25 Showa Machi, Yokohama, Kanagawa 2360001, Japan.</t>
  </si>
  <si>
    <t>wnabe@jamstec.go.jp</t>
  </si>
  <si>
    <t>Watanabe, Shingo/X-2336-2019; Watanabe, Shingo/L-9689-2014; Satoh, Kaoru/P-2047-2015; Sato, Kaoru/E-1693-2012</t>
  </si>
  <si>
    <t>Watanabe, Shingo/0000-0002-2228-0088; Watanabe, Shingo/0000-0002-2228-0088; Sato, Kaoru/0000-0002-6225-6066</t>
  </si>
  <si>
    <t>D18104</t>
  </si>
  <si>
    <t>10.1029/2005JD006851</t>
  </si>
  <si>
    <t>WOS:000240945300004</t>
  </si>
  <si>
    <t>Meredith, NP; Horne, RB; Clilverd, MA; Horsfall, D; Thorne, RM; Anderson, RR</t>
  </si>
  <si>
    <t>Meredith, Nigel P.; Horne, Richard B.; Clilverd, Mark A.; Horsfall, David; Thorne, Richard M.; Anderson, Roger R.</t>
  </si>
  <si>
    <t>Origins of plasmaspheric hiss</t>
  </si>
  <si>
    <t>INNER RADIATION BELT; MAGNETOSPHERICALLY REFLECTING WHISTLERS; ELECTRON-SCATTERING LOSS; PITCH-ANGLE DIFFUSION; ELF HISS; PROPAGATION CHARACTERISTICS; ELF/VLF HISS; FREQUENCY; EMISSIONS; PRECIPITATION</t>
  </si>
  <si>
    <t>Plasmaspheric hiss is an electromagnetic wave emission responsible for electron loss from the radiation belts, particularly in the slot region (2 &lt; L &lt; 3). There are two leading theories for the origin of plasmaspheric hiss: in situ amplification of wave turbulence in space and lightning-generated whistlers. Here we analyze CRRES wave data together with the global distribution of lightning to test both theories. Using the entire CRRES wave database, we split the data into seven frequency bands between 0.1 and 5 kHz and examine the ionospheric mapping of the wave intensities in the slot region as a function of season, magnetospheric location, and magnetic activity. The wave intensities peak in the frequency range 0.2-0.5 kHz and become progressively smaller at higher frequencies. The wave intensities at low frequencies, f &lt; 1 kHz, are independent of lightning flash rate, are stronger on the dayside, and peak during the equinoxes. In contrast, the wave intensities at high frequencies, f &gt; 2 kHz, increase with flash rate, are stronger on the nightside, and peak during the boreal summer. The wave intensities increase with magnetic activity for all frequencies on the dayside but are independent of magnetic activity on the nightside. The data suggest that in situ amplification of wave turbulence in space is the main source of wave power below 1 kHz, whereas wave power above 2 kHz is more related to lightning-generated whistlers. The results suggest that natural plasma turbulence should dominate the loss of relativistic (approximately MeV) electrons in the slot region 2 &lt; L &lt; 3.</t>
  </si>
  <si>
    <t>British Antarctic Survey, NERC, Cambridge CB3 0ET, England; Univ Calif Los Angeles, Dept Atmospher &amp; Ocean Sci, Los Angeles, CA 90095 USA; Univ Iowa, Dept Phys &amp; Astron, Iowa City, IA 52242 USA</t>
  </si>
  <si>
    <t>UK Research &amp; Innovation (UKRI); Natural Environment Research Council (NERC); NERC British Antarctic Survey; University of California System; University of California Los Angeles; University of Iowa</t>
  </si>
  <si>
    <t>Meredith, NP (corresponding author), British Antarctic Survey, NERC, Madingley Rd, Cambridge CB3 0ET, England.</t>
  </si>
  <si>
    <t>nmer@bas.ac.uk; r.horne@bas.ac.uk; macl@bas.ac.uk; dho@bas.ac.uk; rmt@atmos.ucla.edu; roger-r-anderson@uiowa.edu</t>
  </si>
  <si>
    <t>Horne, Richard B/U-3764-2019; Meredith, Nigel P/C-5806-2018</t>
  </si>
  <si>
    <t>Horne, Richard B/0000-0002-0412-6407; Meredith, Nigel/0000-0001-5032-3463</t>
  </si>
  <si>
    <t>A9</t>
  </si>
  <si>
    <t>A09217</t>
  </si>
  <si>
    <t>10.1029/2006JA011707</t>
  </si>
  <si>
    <t>090KC</t>
  </si>
  <si>
    <t>WOS:000240949200003</t>
  </si>
  <si>
    <t>Horgan, HJ; Anandakrishnan, S</t>
  </si>
  <si>
    <t>Horgan, H. J.; Anandakrishnan, S.</t>
  </si>
  <si>
    <t>Static grounding lines and dynamic ice streams: Evidence from the Siple Coast, West Antarctica</t>
  </si>
  <si>
    <t>SHEET; STAGNATION; RETREAT; SURFACE; SHELF</t>
  </si>
  <si>
    <t>Grounding line dynamics are key to our understanding of marine ice sheets such as the West Antarctic Ice Sheet (WAIS). We present an accurate and rapid method for locating grounding lines using GLAS ICESat laser altimetry data. We then apply this technique to the Siple Coast region of the WAIS. Our technique exploits the high surface slope at the grounding line relative to the adjacent flat ice streams and ice shelf. The technique is validated by ground-based observations. Comparisons between the current grounding line and earlier measured locations demonstrate that the Siple Coast's grounding line has been largely static over the last two decades. This is important as the ice streams have been undergoing considerable variations over this period. We conclude that ice stream flow speeds can vary while the grounding line remains stable. We suggest that grounding lines may migrate abruptly and then stabilize rather than undergoing continuous retreat.</t>
  </si>
  <si>
    <t>Penn State Univ, Dept Geosci, University Pk, PA 16802 USA</t>
  </si>
  <si>
    <t>Pennsylvania Commonwealth System of Higher Education (PCSHE); Pennsylvania State University; Pennsylvania State University - University Park</t>
  </si>
  <si>
    <t>Horgan, HJ (corresponding author), Penn State Univ, Dept Geosci, Deike Bldg, University Pk, PA 16802 USA.</t>
  </si>
  <si>
    <t>hhorgan@geosc.psu.edu</t>
  </si>
  <si>
    <t>Horgan, Huw/I-5847-2019; Anandakrishnan, Sridhar/JCN-5026-2023</t>
  </si>
  <si>
    <t>Horgan, Huw/0000-0002-4836-0078;</t>
  </si>
  <si>
    <t>SEP 22</t>
  </si>
  <si>
    <t>L18502</t>
  </si>
  <si>
    <t>10.1029/2006GL027091</t>
  </si>
  <si>
    <t>088QU</t>
  </si>
  <si>
    <t>WOS:000240827000005</t>
  </si>
  <si>
    <t>Oshima, K; Yamazaki, K</t>
  </si>
  <si>
    <t>Oshima, Kazuhiro; Yamazaki, Koji</t>
  </si>
  <si>
    <t>Difference in seasonal variation of net precipitation between the Arctic and Antarctic regions</t>
  </si>
  <si>
    <t>SOUTHERN-OCEAN</t>
  </si>
  <si>
    <t>The difference in the climatological seasonal variation of the net precipitation ( precipitation minus evaporation) between the Arctic and the Antarctic was evaluated using ECMWF reanalysis data. Evaluated for simplified polar caps ( the regions poleward of 70 degrees N and 67.5 degrees S), over the Arctic, the net precipitation is large in the boreal summer, while over the Antarctic, it is large in the austral winter. The net precipitation depends strongly on the poleward transient moisture flux into the region, which is affected by both the meridional moisture gradient and eddy activity. Thus, the seasonal variation of the poleward transient moisture flux is determined by the relative amplitude of the moisture and eddy factors, that is, by the ratio of the amplitude of the seasonal variation to the annual mean. While both regions have similar relative amplitudes of the eddy factor, the moisture factor in the Arctic is much larger than in the Antarctic. The moisture factor explains the difference in the seasonal variation of the net precipitation.</t>
  </si>
  <si>
    <t>Hokkaido Univ, Fac Environm Earth Sci, Sapporo, Hokkaido 0600810, Japan</t>
  </si>
  <si>
    <t>Oshima, K (corresponding author), Hokkaido Univ, Fac Environm Earth Sci, Sapporo, Hokkaido 0600810, Japan.</t>
  </si>
  <si>
    <t>kaz@ees.hokudai.ac.jp</t>
  </si>
  <si>
    <t>Yamazaki, Koji/H-2090-2011; Oshima, Kazuhiro/V-2194-2019</t>
  </si>
  <si>
    <t>Oshima, Kazuhiro/0000-0001-7580-4490</t>
  </si>
  <si>
    <t>L18501</t>
  </si>
  <si>
    <t>10.1029/2006GL027389</t>
  </si>
  <si>
    <t>WOS:000240827000007</t>
  </si>
  <si>
    <t>Clarke, A; Gaston, KJ</t>
  </si>
  <si>
    <t>Clarke, Andrew; Gaston, Kevin J.</t>
  </si>
  <si>
    <t>Climate, energy and diversity</t>
  </si>
  <si>
    <t>abundance; energy; photosynthetically active radiation; speciation; species richness; temperature</t>
  </si>
  <si>
    <t>PLANT-SPECIES RICHNESS; LARGE-SCALE PATTERNS; BIRD DIVERSITY; METABOLIC-RATE; ENVIRONMENTAL GRADIENTS; GLOBAL BIODIVERSITY; HISTORICAL FACTORS; BODY-MASS; TEMPERATURE; WATER</t>
  </si>
  <si>
    <t>In recent years, a number of species-energy hypotheses have been developed to explain global patterns in plant and animal diversity. These hypotheses frequently fail to distinguish between fundamentally different forms of energy which influence diversity in dissimilar ways. Photosynthetically active radiation (PAR) can be utilized only by plants, though their abundance and growth rate is also greatly influenced by water. The Gibbs free energy (chemical energy) retained in the reduced organic compounds of tissue can be utilized by all heterotrophic organisms. Neither PAR nor chemical energy influences diversity directly. Both, however, influence biomass and/or abundance; diversity may then increase as a result of secondary population dynamic or evolutionary processes. Temperature is not a form of energy, though it is often used loosely by ecologists as a proxy for energy; it does, however, influence the rate of utilization of chemical energy by organisms. It may also influence diversity by allowing a greater range of energetic lifestyles at warmer temperatures (the metabolic niche hypothesis). We conclude that there is no single species/energy mechanism; fundamentally different processes link energy to abundance in plants and animals, and diversity is affected secondarily. If we are to make progress in elucidating these mechanisms, it is important to distinguish climatic effects on species' distribution and abundance from processes linking energy supply to plant and animal diversity.</t>
  </si>
  <si>
    <t>British Antarctic Survey, NERC, Biol Sci, Cambridge CB3 0ET, England; Univ Sheffield, Dept Anim &amp; Plant Sci, Biodivers &amp; Macroecol Grp, Sheffield S10 2TN, S Yorkshire, England</t>
  </si>
  <si>
    <t>Clarke, A (corresponding author), British Antarctic Survey, NERC, Biol Sci, High Cross,Madingley Rd, Cambridge CB3 0ET, England.</t>
  </si>
  <si>
    <t>accl@bas.ac.uk</t>
  </si>
  <si>
    <t>Natural Environment Research Council [bas010010] Funding Source: researchfish; NERC [bas010010] Funding Source: UKRI</t>
  </si>
  <si>
    <t>10.1098/rspb.2006.3545</t>
  </si>
  <si>
    <t>082QC</t>
  </si>
  <si>
    <t>WOS:000240400800001</t>
  </si>
  <si>
    <t>Crucifix, M</t>
  </si>
  <si>
    <t>Crucifix, M.</t>
  </si>
  <si>
    <t>Does the Last Glacial Maximum constrain climate sensitivity?</t>
  </si>
  <si>
    <t>FEEDBACK PROCESSES; ATMOSPHERIC CO2; CLOUD FEEDBACK; ICE; TEMPERATURES; GREENLAND; GCM</t>
  </si>
  <si>
    <t>Four simulations with atmosphere-ocean climate models have been produced using identical Last Glacial Maximum ice sheets, topography and greenhouse gas concentrations. Compared to the pre-industrial, the diagnosed radiative feedback parameter ranges between - 1.30 and - 1.18 Wm(-2)K(-1), the tropical ocean sea-surface temperature decreases between 1.7 and 2.7 degrees C, and Antarctic surface air temperature decreases by 7 to 11 degrees C. These values are all compatible with observational estimates, except for a tendency to underestimate the tropical ocean cooling. On the other hand, the same models have a climate sensitivity to CO2 concentration doubling ranging between 2.1 and 3.9 K. It is therefore inappropriate to simply scale an observational estimate of LGM temperature to predict climate sensitivity. This is mainly a consequence of the non-linear character of the cloud ( mainly shortwave) feedback at low latitudes. Changes in albedo and cloud cover at mid and high latitudes are also important, but less so.</t>
  </si>
  <si>
    <t>Met Off, Hadley Ctr Climate Predict &amp; Res, Exeter EX1 3PB, Devon, England</t>
  </si>
  <si>
    <t>Crucifix, M (corresponding author), Met Off, Hadley Ctr Climate Predict &amp; Res, FitzRoy Rd, Exeter EX1 3PB, Devon, England.</t>
  </si>
  <si>
    <t>michel.crucifix@metoffice.gov.uk</t>
  </si>
  <si>
    <t>Crucifix, Michel/0000-0002-3437-4911</t>
  </si>
  <si>
    <t>SEP 19</t>
  </si>
  <si>
    <t>L18701</t>
  </si>
  <si>
    <t>10.1029/2006GL027137</t>
  </si>
  <si>
    <t>088QR</t>
  </si>
  <si>
    <t>WOS:000240826700006</t>
  </si>
  <si>
    <t>Miller, RL; Schmidt, GA; Shindell, DT</t>
  </si>
  <si>
    <t>Miller, R. L.; Schmidt, G. A.; Shindell, D. T.</t>
  </si>
  <si>
    <t>Forced annular variations in the 20th century intergovernmental panel on climate change fourth assessment report models</t>
  </si>
  <si>
    <t>NORTH-ATLANTIC OSCILLATION; ATMOSPHERE-OCEAN MODEL; SEA-LEVEL PRESSURE; GREENHOUSE-GAS; EXTRATROPICAL CIRCULATION; ANTARCTIC OSCILLATION; PINATUBO ERUPTION; OZONE DEPLETION; PART I; HEMISPHERE</t>
  </si>
  <si>
    <t>[1] We examine the annular mode within each hemisphere ( defined here as the leading empirical orthogonal function and principal component of hemispheric sea level pressure) as simulated by the Intergovernmental Panel on Climate Change Fourth Assessment Report ensembles of coupled ocean-atmosphere models. The simulated annular patterns exhibit a high spatial correlation with the observed patterns during the late 20th century, though the mode represents too large a percentage of total temporal variability within each hemisphere. In response to increasing concentrations of greenhouse gases and tropospheric sulfate aerosols, the multimodel average exhibits a positive annular trend in both hemispheres, with decreasing sea level pressure (SLP) over the pole and a compensating increase in midlatitudes. In the Northern Hemisphere, the trend agrees in sign but is of smaller amplitude than that observed during recent decades. In the Southern Hemisphere, decreasing stratospheric ozone causes an additional reduction in Antarctic surface pressure during the latter half of the 20th century. While annular trends in the multimodel average are positive, individual model trends vary widely. Not all models predict a decrease in high-latitude SLP, although no model exhibits an increase. As a test of the models' annular sensitivity, the response to volcanic aerosols in the stratosphere is calculated during the winter following five major tropical eruptions. The observed response exhibits coupling between stratospheric anomalies and annular variations at the surface, similar to the coupling between these levels simulated elsewhere by models in response to increasing GHG concentration. The multimodel average is of the correct sign but significantly smaller in magnitude than the observed annular anomaly. This suggests that the models underestimate the coupling of stratospheric changes to annular variations at the surface and may not simulate the full response to increasing GHGs.</t>
  </si>
  <si>
    <t>NASA, Goddard Inst Space Studies, New York, NY 10025 USA; Columbia Univ, Dept Appl Phys &amp; Appl Math, New York, NY USA; Columbia Univ, Ctr Climate Syst Res, New York, NY USA</t>
  </si>
  <si>
    <t>National Aeronautics &amp; Space Administration (NASA); NASA Goddard Space Flight Center; Goddard Institute for Space Studies; Columbia University; Columbia University</t>
  </si>
  <si>
    <t>Miller, RL (corresponding author), NASA, Goddard Inst Space Studies, 2880 Broadway, New York, NY 10025 USA.</t>
  </si>
  <si>
    <t>rmiller@giss.nasa.gov; gschmidt@giss.nasa.gov; dshindell@giss.nasa.gov</t>
  </si>
  <si>
    <t>Schmidt, Gavin/D-4427-2012; Shindell, Drew/D-4636-2012; Miller, Ron/E-1902-2012</t>
  </si>
  <si>
    <t>Schmidt, Gavin/0000-0002-2258-0486; Shindell, Drew/0000-0003-1552-4715; Miller, Ron/0000-0003-2122-0443</t>
  </si>
  <si>
    <t>D18101</t>
  </si>
  <si>
    <t>10.1029/2005JD006323</t>
  </si>
  <si>
    <t>088RB</t>
  </si>
  <si>
    <t>WOS:000240827700001</t>
  </si>
  <si>
    <t>Thorne, RM; Horne, RB; Meredith, NP</t>
  </si>
  <si>
    <t>Thorne, R. M.; Horne, R. B.; Meredith, N. P.</t>
  </si>
  <si>
    <t>Comment on On the origin of whistler mode radiation in the plasmasphere'' by Green et al.</t>
  </si>
  <si>
    <t>MAGNETOSPHERICALLY REFLECTED WHISTLERS; BELT ELECTRONS; HISS; WAVES; SCATTERING; FREQUENCY; DIFFUSION; STORMS</t>
  </si>
  <si>
    <t>Univ Calif Los Angeles, Dept Atmospher &amp; Ocean Sci, Los Angeles, CA 90095 USA; British Antarctic Survey, NERC, Cambridge CB3 0ET, England</t>
  </si>
  <si>
    <t>University of California System; University of California Los Angeles; UK Research &amp; Innovation (UKRI); Natural Environment Research Council (NERC); NERC British Antarctic Survey</t>
  </si>
  <si>
    <t>Thorne, RM (corresponding author), Univ Calif Los Angeles, Dept Atmospher &amp; Ocean Sci, 405 Hilgard Ave, Los Angeles, CA 90095 USA.</t>
  </si>
  <si>
    <t>rmt@atmos.ucla.edu; r.horne@bas.ac.uk; nmer@bas.ac.uk</t>
  </si>
  <si>
    <t>SEP 16</t>
  </si>
  <si>
    <t>A09210</t>
  </si>
  <si>
    <t>10.1029/2005JA011477</t>
  </si>
  <si>
    <t>086BK</t>
  </si>
  <si>
    <t>WOS:000240647900004</t>
  </si>
  <si>
    <t>Revel-Rolland, M; De Deckker, P; Delmonte, B; Hesse, PP; Magee, JW; Basile-Doelsch, I; Grousset, F; Bosch, D</t>
  </si>
  <si>
    <t>Revel-Rolland, M.; De Deckker, P.; Delmonte, B.; Hesse, P. P.; Magee, J. W.; Basile-Doelsch, I.; Grousset, F.; Bosch, D.</t>
  </si>
  <si>
    <t>Eastern Australia: A possible source of dust in East Antarctica interglacial ice</t>
  </si>
  <si>
    <t>Sr and Nd isotopes; Australian aeolian dust; Lake Eyre Basin; East Antarctica ice core dust</t>
  </si>
  <si>
    <t>NEW-SOUTH-WALES; AEOLIAN DUST; LAKE EYRE; CONTINENTAL DUST; GLACIAL MAXIMUM; NEW-ZEALAND; DOME C; SEDIMENTS; DEPOSITS; VOSTOK</t>
  </si>
  <si>
    <t>The Australian continent is characterised by an extremely variable surficial geochemistry, reflecting the varied lithology of Australian basement rocks. Samples representative of Australian aeolian dust have been collected in (1) regions where meteorological records, satellite observation and wind erosion modelling systems have indicated frequent dust activity today (mainly the Lake Eyre Basin), and (2) from deposits of mixed dust materials. The (87)sr/Sr-86 and Nd-143/Nd-144 isotopic composition of the fine (&lt; 5 gm) fraction of Australian dust samples was measured for comparison with the Sr and Nd isotopic composition of fine aeolian dust that reached the interior of the East Antarctic Plateau. The isotopic field for Australian dust is characterised by Sr-87/Sr-86 ratios ranging from 0.709 to 0.732 and epsilon(Nd)(0) between -3 and -15. The low Sr radiogenic values and epsilon(Nd)(0) of -3 obtained for Lake Eyre samples are explained by the lithology of the Lake Eyre catchment showing a dominance of Tertiary intraplate volcanic material. These new data show that the dust contribution from Australia could have been dominant during interglacial periods (Holocene and Marine Isotopic Stage 5.5) to Antarctica. During glacial times, studies have shown that the South American dust isotopic signature overlaps the glacial Antarctic dust field suggesting this region as dominant aeolian dust source. However, the Australian Lake Eyre dust isotopic signature partially overlaps with the Antarctic glacial dust signature. We propose that the relatively greater contribution of Australian dust inferred for Antarctic interglacial ice compared with glacial ice is not directly reflective of changes in dust transport pathway, but instead is related to a differential weakening of the South American sources during interglacial time with respect to the Australia sources. Our findings have implications for interglacial versus glacial atmospheric circulation, at least in the Southern Hemisphere. (c) 2006 Elsevier B.V All rights reserved.</t>
  </si>
  <si>
    <t>Observ Oceanol, Geosci Azur, F-06235 Villefranche Sur Mer, France; Univ Montpellier 2, Lab Tectonophys, F-34095 Montpellier, France; Univ Bordeaux 1, EPOC, F-33405 Talence, France; Univ Aix Marseille, CNRS, IRD UR161, CEREGE, F-13545 Aix En Provence, France; Macquarie Univ, Dept Phys Geog, Sydney, NSW 2109, Australia; Univ Studi Milano Bicocca, Dipartimento Sci Ambiente &amp; Terr, I-120126 Milan, Italy; Australian Natl Univ, Dept Earth &amp; Marine Sci, Canberra, ACT 0200, Australia; Univ Grenoble 1, Observ Sci Univ Grenoble, LGCA, F-38041 Grenoble, France</t>
  </si>
  <si>
    <t>Sorbonne Universite; Universite de Montpellier; Universite de Bordeaux; Centre National de la Recherche Scientifique (CNRS); Aix-Marseille Universite; Centre National de la Recherche Scientifique (CNRS); Macquarie University; University of Milano-Bicocca; Australian National University; Communaute Universite Grenoble Alpes; Universite Grenoble Alpes (UGA)</t>
  </si>
  <si>
    <t>Revel-Rolland, M (corresponding author), Observ Oceanol, Geosci Azur, BP 48, F-06235 Villefranche Sur Mer, France.</t>
  </si>
  <si>
    <t>mrolland@unice.fr</t>
  </si>
  <si>
    <t>Delmonte, Barbara/L-2555-2015; Basile, Isabelle IBD/B-4173-2010; Bosch, Delphine/F-1302-2010; Bosch, Delphine/AAB-3805-2020; Bosch, Delphine C/D-8233-2015</t>
  </si>
  <si>
    <t>Delmonte, Barbara/0000-0002-9074-2061; Bosch, Delphine/0000-0002-7903-710X; Hesse, Paul/0000-0001-8709-2523</t>
  </si>
  <si>
    <t>SEP 15</t>
  </si>
  <si>
    <t>10.1016/j.epsl.2006.06.028</t>
  </si>
  <si>
    <t>094FZ</t>
  </si>
  <si>
    <t>WOS:000241226500001</t>
  </si>
  <si>
    <t>Farmer, GL; Licht, K; Swope, RJ; Andrews, J</t>
  </si>
  <si>
    <t>Farmer, G. Lang; Licht, Kathy; Swope, R. Jeffrey; Andrews, John</t>
  </si>
  <si>
    <t>Isotopic constraints on the provenance of fine-grained sediment in LGM tills from the Ross Embayment, Antarctica</t>
  </si>
  <si>
    <t>quaternary; glacial till; provenance; ice streams; geochemistry; isotope composition</t>
  </si>
  <si>
    <t>LAST GLACIAL MAXIMUM; MARIE BYRD LAND; VICTORIA-LAND; ICE-SHEET; NORTH-ATLANTIC; SEA; EVOLUTION; RETREAT; MANTLE; SR</t>
  </si>
  <si>
    <t>The major element, trace element and Nd, Sr, and Pb isotopic compositions were determined for the &lt; 63 mu m sediment fractions of fourteen onshore tills and twenty-one offshore tills in the Ross Sea and surrounding areas, Antarctica. The purpose was to determine the provenance of tills deposited on the continental shelf of the Ross Sea during the Last Glacial Maximum (LGM) and to assess the relative importance of the West and East Antarctic ice sheets in providing ice to the Ross Embayment during this time. Onshore tills exposed around the margins of the Ross Embayment associated with specific ice streams and outlet glaciers have Nd and Pb compositions that vary regularly with geographic position, reflecting changes in the age and isotopic compositions of basement rocks along the Ross Sea margin. Specifically, till epsilon(Nd) values range from -5.6 to -9.9 for the West Antarctic (Siple Coast) ice streams and the southern Transantarctic Mountains, while the epsilon(Nd) in the central portions of the mountains range from -11.9 to -14.9. Uranogenic Pb becomes less radiogenic in the same direction. The composition of Late Quaternary tills from the Ross Sea also varies geographically, with the &lt; 63 mu m fraction from both the western and eastern Ross Sea tills having higher epsilon(Nd) values (-5.8 to -7.5 and -3.8 to -6.9, respectively) than the till in the central Ross Sea (-7.1 to -12.5). Tills in the eastern Ross Sea (most proximal to West Antarctica) have isotopic and chemical compositions identical to onshore till from West Antarctica and the southern Transantarctic Mountains and were most likely derived from these areas. Tills in the western Ross Sea with the highest epsilon(Nd) values have low wt-% SiO2 (46%), and high Ni, Nb, Ta and Sr contents requiring a large component of material eroded from extrusive igneous rocks from the adjacent Late Cenozoic McMurdo Volcanic Field. In contrast, tills in the central Ross Sea were most likely related to ice emanating from the central Transantarctic Mountains that flowed north across the Ross Embayment to the continental shelf margin. Overall, our data provide further direct evidence for the model described in a previously published companion paper [K.J. Licht, JR. Lederer, J.R. Swope, Provenance of LGM glacial till (sand fraction) across the Ross Embayment, Antarctica, Quat. Sci. Rev. 24 (2005) 1499-1520.] that ice derived from the East Antarctic ice sheet was active and responsible for LGM till deposition throughout the western half of the Ross Sea (including the central Ross Sea). As a result, models for the past and future dynamics of the Antarctic ice sheets must account for a major East Antarctic contribution to the Ross ice sheet. (c) 2006 Elsevier B.V. All rights reserved.</t>
  </si>
  <si>
    <t>Univ Colorado, Dept Geol Sci, Boulder, CO 80309 USA; Univ Colorado, Cooperat Inst Res Environm Sci, Boulder, CO 80309 USA; Indiana Univ Purdue Univ, Dept Geol, Indianapolis, IN 46202 USA; Univ Colorado, INSTAAR, Boulder, CO 80309 USA</t>
  </si>
  <si>
    <t>University of Colorado System; University of Colorado Boulder; University of Colorado System; University of Colorado Boulder; Indiana University System; Indiana University-Purdue University Indianapolis; University of Colorado System; University of Colorado Boulder</t>
  </si>
  <si>
    <t>Farmer, GL (corresponding author), Univ Colorado, Dept Geol Sci, Boulder, CO 80309 USA.</t>
  </si>
  <si>
    <t>farmer@colorado.edu</t>
  </si>
  <si>
    <t>Licht, Kathy/0000-0002-2233-2853</t>
  </si>
  <si>
    <t>10.1016/j.epsl.2006.06.044</t>
  </si>
  <si>
    <t>WOS:000241226500008</t>
  </si>
  <si>
    <t>Marshall, GJ; Connolley, WM</t>
  </si>
  <si>
    <t>Marshall, Gareth J.; Connolley, William M.</t>
  </si>
  <si>
    <t>Effect of changing Southern Hemisphere winter sea surface temperatures on Southern Annular Mode strength</t>
  </si>
  <si>
    <t>ANTARCTIC OSCILLATION; CLIMATE VARIABILITY; TRENDS; CIRCULATION; ANOMALIES; GCM; SST</t>
  </si>
  <si>
    <t>We examine the impact that changes in the winter Southern Hemisphere (SH) meridional sea surface temperature (SST) gradient have on the sign and strength of the SH Annular Mode (SAM). This is undertaken by perturbing either tropical or extra-tropical SSTs in an atmospheric General Circulation Model. Changes in winter tropical SSTs have little direct influence on the SAM but do force a strong wave train in geopotential height across the Southern Ocean. In contrast, changes in winter SSTs in the SH extra-tropics have a profound effect on the SAM: cooler SSTs strengthen the SAM and vice versa. The mechanism involves modifications to the Ferrel cell. As a positive ( negative) SAM enhances ( reduces) the extra-tropical meridional temperature gradient, these experiments demonstrate a positive feedback mechanism. SAM variability remains unchanged, indicating a shift in the mean, rather than a change in the probability distribution of its positive and negative phases.</t>
  </si>
  <si>
    <t>Marshall, GJ (corresponding author), British Antarctic Survey, High Cross,Madingley Rd, Cambridge CB3 0ET, England.</t>
  </si>
  <si>
    <t>gjma@bas.ac.uk</t>
  </si>
  <si>
    <t>L17717</t>
  </si>
  <si>
    <t>10.1029/2006GL026627</t>
  </si>
  <si>
    <t>085ZK</t>
  </si>
  <si>
    <t>WOS:000240642700001</t>
  </si>
  <si>
    <t>McLandress, C; Ward, WE; Fomichev, VI; Semeniuk, K; Beagley, SR; McFarlane, NA; Shepherd, TG</t>
  </si>
  <si>
    <t>McLandress, C.; Ward, W. E.; Fomichev, V. I.; Semeniuk, K.; Beagley, S. R.; McFarlane, N. A.; Shepherd, T. G.</t>
  </si>
  <si>
    <t>Large-scale dynamics of the mesosphere and lower thermosphere: An analysis using the extended Canadian Middle Atmosphere Model</t>
  </si>
  <si>
    <t>GENERAL-CIRCULATION MODEL; DOPPLER-SPREAD PARAMETERIZATION; WAVE MOMENTUM DEPOSITION; PROPAGATING DIURNAL TIDE; 2-DAY WAVE; 4-DAY WAVE; SEASONAL-VARIATION; PLANETARY-WAVES; SEMIANNUAL OSCILLATION; ANTARCTIC MESOSPHERE</t>
  </si>
  <si>
    <t>[1] The extended Canadian Middle Atmosphere Model is used to investigate the large-scale dynamics of the mesosphere and lower thermosphere (MLT). It is shown that the 4-day wave is substantially amplified in southern polar winter in the presence of instabilities arising from strong vertical shears in the MLT zonal mean zonal winds brought about by parameterized nonorographic gravity wave drag. A weaker 4-day wave in northern polar winter is attributed to the weaker wind shears that result from weaker parameterized wave drag. The 2-day wave also exhibits a strong dependence on zonal wind shears, in agreement with previous modeling studies. In the equatorial upper mesosphere, the migrating diurnal tide provides most of the resolved westward wave forcing, which varies semiannually in conjunction with the tide itself; resolved forcing by eastward traveling disturbances is dominated by smaller scales. Nonmigrating tides and other planetary-scale waves play only a minor role in the zonal mean zonal momentum budget in the tropics at these heights. Resolved waves are shown to play a significant role in the zonal mean meridional momentum budget in the MLT, impacting significantly on gradient wind balance. Balance fails at low latitudes as a result of a strong Reynolds stress associated with the migrating diurnal tide, an effect which is most pronounced at equinox when the tide is strongest. Resolved and parameterized waves account for most of the imbalance at higher latitudes in summer. This results in the gradient wind underestimating the actual eastward wind reversal by up to 40%.</t>
  </si>
  <si>
    <t>Univ Toronto, Dept Phys, SPARC IPO, Toronto, ON M5S 1A7, Canada; Univ New Brunswick, Dept Phys, Fredericton, NB E3B 5A3, Canada; York Univ, Dept Earth &amp; Space Sci &amp; Engn, N York, ON M3J 1P3, Canada</t>
  </si>
  <si>
    <t>University of Toronto; University of New Brunswick; York University - Canada</t>
  </si>
  <si>
    <t>McLandress, C (corresponding author), Univ Toronto, Dept Phys, SPARC IPO, 60 St George St, Toronto, ON M5S 1A7, Canada.</t>
  </si>
  <si>
    <t>charles@atmosp.physics.utoronto.ca; wward@unb.ca; victor@nimbus.yorku.ca; kirill@nimbus.yorku.ca; beagley@nimbus.yorku.ca; norm.mcfarlane@ec.gc.ca; tgs@atmosp.physics.utoronto.ca</t>
  </si>
  <si>
    <t>Ward, William/F-6263-2012</t>
  </si>
  <si>
    <t>SEP 14</t>
  </si>
  <si>
    <t>D17</t>
  </si>
  <si>
    <t>D17111</t>
  </si>
  <si>
    <t>10.1029/2005JD006776</t>
  </si>
  <si>
    <t>085ZW</t>
  </si>
  <si>
    <t>WOS:000240643900005</t>
  </si>
  <si>
    <t>Warren, SG; Brandt, RE</t>
  </si>
  <si>
    <t>Warren, Stephen G.; Brandt, Richard E.</t>
  </si>
  <si>
    <t>Comment on Snowball earth: A thin-ice solution with flowing sea glaciers'' by David Pollard and James F. Kasting</t>
  </si>
  <si>
    <t>SURFACE-ENERGY BALANCE; BLUE ICE; ANTARCTIC ICE; THICKNESS; ALBEDO; SHEET</t>
  </si>
  <si>
    <t>Univ Washington, Dept Atmospher Sci, Seattle, WA 98195 USA; Univ Washington, Astrobiol Program, Seattle, WA 98195 USA</t>
  </si>
  <si>
    <t>University of Washington; University of Washington Seattle; University of Washington; University of Washington Seattle</t>
  </si>
  <si>
    <t>Warren, SG (corresponding author), Univ Washington, Dept Atmospher Sci, Seattle, WA 98195 USA.</t>
  </si>
  <si>
    <t>sgw@atmos.washington.edu; brandt@atmos.washington.edu</t>
  </si>
  <si>
    <t>C9</t>
  </si>
  <si>
    <t>C09016</t>
  </si>
  <si>
    <t>10.1029/2005JC003411</t>
  </si>
  <si>
    <t>086AG</t>
  </si>
  <si>
    <t>WOS:000240644900002</t>
  </si>
  <si>
    <t>Grassi, B; Redaelli, G; Visconti, G</t>
  </si>
  <si>
    <t>Grassi, Barbara; Redaelli, Gianluca; Visconti, Guido</t>
  </si>
  <si>
    <t>A physical mechanism of the atmospheric response over Antarctica to decadal trends in tropical SST</t>
  </si>
  <si>
    <t>CUMULUS CONVECTION; STRATOSPHERE; MODEL; PROPAGATION; OSCILLATION; TROPOSPHERE; SIMULATION; WEATHER; WAVES</t>
  </si>
  <si>
    <t>The atmospheric response to the tendency of oceanic equatorial temperature observed during recent decades has been simulated, leading to the identification of a possible link between tropical Sea Surface Temperature (SST) and Antarctic climate change. The dynamical mechanism, by which changes in tropical SSTs exert an influence on the upper latitude atmospheric dynamics, is investigated. The analysis of the simulations suggests that the perturbations of the atmospheric circulation are induced by changes in the annual cycle of the tropical convective activity, which influences the intensity of the wave forcing. In particular, the introduction of the SST perturbation generates a strong vertical wind shear at middle latitude during the Antarctic winter affecting the propagation of convectively generated waves during the following spring.</t>
  </si>
  <si>
    <t>Univ Aquila, Dipartimento Fis, CETEMPS, I-67010 Coppito, Italy</t>
  </si>
  <si>
    <t>University of L'Aquila</t>
  </si>
  <si>
    <t>Grassi, B (corresponding author), Univ Aquila, Dipartimento Fis, CETEMPS, I-67010 Coppito, Italy.</t>
  </si>
  <si>
    <t>barbara.grassi@aquila.infn.it</t>
  </si>
  <si>
    <t>Redaelli, Gianluca/GZX-3219-2022</t>
  </si>
  <si>
    <t>Redaelli, Gianluca/0000-0002-4449-1513</t>
  </si>
  <si>
    <t>SEP 13</t>
  </si>
  <si>
    <t>L17814</t>
  </si>
  <si>
    <t>10.1029/2006GL026509</t>
  </si>
  <si>
    <t>085ZG</t>
  </si>
  <si>
    <t>WOS:000240642300001</t>
  </si>
  <si>
    <t>MacAyeal, DR; Okal, EA; Aster, RC; Bassis, JN; Brunt, KM; Cathles, LM; Drucker, R; Fricker, HA; Kim, YJ; Martin, S; Okal, MH; Sergienko, OV; Sponsler, MP; Thom, JE</t>
  </si>
  <si>
    <t>MacAyeal, Douglas R.; Okal, Emile A.; Aster, Richard C.; Bassis, Jeremy N.; Brunt, Kelly M.; Cathles, L. Mac.; Drucker, Robert; Fricker, Helen A.; Kim, Young-Jin; Martin, Seelye; Okal, Marianne H.; Sergienko, Olga V.; Sponsler, Mark P.; Thom, Jonathan E.</t>
  </si>
  <si>
    <t>Transoceanic wave propagation links iceberg calving margins of Antarctica with storms in tropics and Northern Hemisphere</t>
  </si>
  <si>
    <t>ICE-SHELF; ATLANTIC; SWELL; SEA</t>
  </si>
  <si>
    <t>We deployed seismometers on the Ross Ice Shelf and on various icebergs adrift in the Ross Sea ( including B15A, a large 100 km by 30 km fragment of B15, which calved from the Ross Ice Shelf in March, 2000). The data reveal that the dominant energy of these floating ice masses is in the 0.01 to 0.1 Hz band, and is associated with sea swell generated in the tropical and extra-tropical Pacific Ocean. In one example, a strong storm in the Gulf of Alaska on 21 October 2005, approximately 13,500 km from the Ross Sea, generated swell that arrived at B15A immediately prior to, and during, its break-up off Cape Adare on 27 October 2005. If sea swell influences iceberg calving and break-up, a teleconnection exists between the Antarctic ice sheet mass balance and weather systems worldwide.</t>
  </si>
  <si>
    <t>Univ Chicago, Dept Geophys Sci, Chicago, IL 60637 USA; Northwestern Univ, Dept Geol Sci, Evanston, IL 60208 USA; New Mexico Inst Min &amp; Technol, Geophys Res Ctr, Socorro, NM 87801 USA; New Mexico Inst Min &amp; Technol, Dept Earth &amp; Environm Sci, Socorro, NM 87801 USA; Univ Calif San Diego, Scripps Inst Oceanog, Inst Geophys &amp; Planetary Phys, La Jolla, CA 92093 USA; Univ Washington, Sch Oceanog, Seattle, WA 98195 USA; Stormsurf, Half Moon Bay, CA 94019 USA; Univ Wisconsin, Antarctic Meteorol Res Ctr, Madison, WI 54025 USA; NASA, Goddard Space Flight Ctr, Hydrospher &amp; Biospher Sci Lab, Greenbelt, MD 20771 USA</t>
  </si>
  <si>
    <t>University of Chicago; Northwestern University; New Mexico Institute of Mining Technology; New Mexico Institute of Mining Technology; University of California System; University of California San Diego; Scripps Institution of Oceanography; University of Washington; University of Washington Seattle; University of Wisconsin System; University of Wisconsin Madison; National Aeronautics &amp; Space Administration (NASA); NASA Goddard Space Flight Center</t>
  </si>
  <si>
    <t>MacAyeal, DR (corresponding author), Univ Chicago, Dept Geophys Sci, 5734 S Ellis Ave, Chicago, IL 60637 USA.</t>
  </si>
  <si>
    <t>drm7@midway.uchicago.edu</t>
  </si>
  <si>
    <t>Bassis, Jeremy/ABB-8628-2021; Okal, Marianne/P-5336-2017; Sergienko, Olga/HII-8500-2022</t>
  </si>
  <si>
    <t>Bassis, Jeremy/0000-0003-2946-7176; Okal, Marianne/0000-0002-9344-6196; Sergienko, Olga/0000-0002-5764-8815; MacAyeal, Douglas/0000-0003-0647-6176</t>
  </si>
  <si>
    <t>SEP 12</t>
  </si>
  <si>
    <t>L17502</t>
  </si>
  <si>
    <t>10.1029/2006GL027235</t>
  </si>
  <si>
    <t>085ZE</t>
  </si>
  <si>
    <t>WOS:000240642100009</t>
  </si>
  <si>
    <t>Tiwari, VM; Singh, B; Rao, MBSV; Mishra, DC</t>
  </si>
  <si>
    <t>Tiwari, V. M.; Singh, B.; Rao, M. B. S. Vyaghreswara; Mishra, D. C.</t>
  </si>
  <si>
    <t>Absolute gravity measurements in India and Antarctica</t>
  </si>
  <si>
    <t>absolute gravity; Maitri station; temporal gravity changes; water level</t>
  </si>
  <si>
    <t>A series of absolute gravity measurements have been made at National Geophysical Research Institute, Hyderabad and at Maitri, Indian Antarctic station to establish precise reference gravity stations and also to monitor long-term gravity changes for different geophysical studies. These precise measurements are made with an FG-5 absolute gravity meter, which measures the gravitational acceleration with an accuracy of 20 nm-s(-2) (2 mu Gal). Non-tidal time series of measured absolute gravity values at these locations indicate systematic daily and, seasonal variation of variable amplitudes. Daily changes are probably caused due to inaccurate global tidal model used in processing of data and suggest a need for better tidal model for the Indian sub-continent. Seasonal changes appear to be mainly caused due to hydrological effects, which can be modelled to derive the aquifer parameters.</t>
  </si>
  <si>
    <t>Natl Geophys Res Inst, Hyderabad 500007, Andhra Pradesh, India</t>
  </si>
  <si>
    <t>Council of Scientific &amp; Industrial Research (CSIR) - India; CSIR - National Geophysical Research Institute (NGRI)</t>
  </si>
  <si>
    <t>Tiwari, VM (corresponding author), Natl Geophys Res Inst, Hyderabad 500007, Andhra Pradesh, India.</t>
  </si>
  <si>
    <t>vmtiwari@ngri.res.in</t>
  </si>
  <si>
    <t>Singh, Bijendra/0000-0002-7171-3150</t>
  </si>
  <si>
    <t>SEP 10</t>
  </si>
  <si>
    <t>085BP</t>
  </si>
  <si>
    <t>WOS:000240578400029</t>
  </si>
  <si>
    <t>Waite, TJ; Truesdale, VW; Olafsson, J</t>
  </si>
  <si>
    <t>Waite, Tim J.; Truesdale, Victor W.; Olafsson, Jon</t>
  </si>
  <si>
    <t>The distribution of dissolved inorganic iodine in the seas around Iceland</t>
  </si>
  <si>
    <t>iodide; iodate; total iodine; seawater; Iceland; Arctic</t>
  </si>
  <si>
    <t>SOUTH-ATLANTIC; WATER COLUMN; NEAR-SURFACE; NORDIC SEAS; ARABIAN SEA; IODATE; SPECIATION; PHYTOPLANKTON; CHEMISTRY; SEAWATER</t>
  </si>
  <si>
    <t>Depth profiles for iodide, iodate and total dissolved inorganic iodine concentrations were measured in the ocean around Iceland during November 2000, and February and August 2002. Meanwhile surface transects of the same variables were taken between the coast and about 100 nm offshore. Overall, the results are consistent with the general pattern for iodine distribution. Hence, total iodine was essentially constant with depth except for a small removal (up to 20 nM) in surface waters, and the greatest effect was that of reduction of iodate to iodide in the near-surface waters. The magnitude of the reductions was similar to that reported for the Antarctic, and as there, was less than in surface waters nearer the equator. These measurements are only the second set made in Arctic waters and reasons are given as to why they should supersede the earlier ones. The distributions found in northerly moving Gulf Stream water were not significantly different to those found in southerly moving modified Arctic water at the same latitude. A provisional budget of iodine inputs and outputs for the Nordic Seas also suggests little or no overall change in iodine speciation. These results reinforce the contention that iodine distribution is a zonal phenomenon. Nutrient measurements made at the same time as the iodine study show a marked nutrient stripping during summer, and regeneration/replenishment during autumn and winter. These findings therefore add further evidence to the fact that, in higher latitudes, there is no link between iodine speciation and new production. (c) 2006 Elsevier B.V. All rights reserved.</t>
  </si>
  <si>
    <t>Univ Delaware, Coll Marine Studies, Lewes, DE 19958 USA; Oxford Brookes Univ, Sch Biol &amp; Mol Sci, Oxford OX3 0BP, England; Marine Res Inst, IS-121 Reykjavik, Iceland</t>
  </si>
  <si>
    <t>University of Delaware; Oxford Brookes University; Marine &amp; Freshwater Research Institute (MFRI)</t>
  </si>
  <si>
    <t>Waite, TJ (corresponding author), Univ Delaware, Coll Marine Studies, 700 Pilottown Rd, Lewes, DE 19958 USA.</t>
  </si>
  <si>
    <t>tjwaite@udel.edu</t>
  </si>
  <si>
    <t>SEP 7</t>
  </si>
  <si>
    <t>10.1016/j.marchem.2006.01.003</t>
  </si>
  <si>
    <t>053JR</t>
  </si>
  <si>
    <t>WOS:000238301900005</t>
  </si>
  <si>
    <t>Hodell, DA; Venz-Curtis, KA</t>
  </si>
  <si>
    <t>Hodell, David A.; Venz-Curtis, Kathryn A.</t>
  </si>
  <si>
    <t>Late Neogene history of deepwater ventilation in the Southern Ocean</t>
  </si>
  <si>
    <t>paleoceanography; Southern Ocean; ventilation; carbon isotopes; biogeosciences : paleoclimatology and paleoceanography; paleoceanography : geochemical tracers; paleoceanography : thermohaline</t>
  </si>
  <si>
    <t>ANTARCTIC SEA-ICE; LATE MIOCENE; ATMOSPHERIC CO2; ATLANTIC SECTOR; CIRCULATION; CARBON; ISOTOPE; INTERMEDIATE; DELTA-C-13; RECORD</t>
  </si>
  <si>
    <t>[1] We compiled carbon isotope records from the North Atlantic, South Atlantic, and Pacific oceans to estimate changes in vertical and interbasinal delta C-13 gradients for the last 9 Myr. Benthic delta C-13 values of deep water in the South Atlantic decreased in a series of steps at similar to 7, 2.75, and 1.55 Ma away from the North Atlantic and toward the Pacific. The benthic delta C-13 of intermediate water in the South Atlantic evolved differently from deep waters, resulting in an increase in the intermediate-to-deep delta C-13 gradient (Delta C-13(ID)). The Delta C-13(ID) increased in steps at similar to 2.75 and 1.55 Ma, marking the development and intensification of a chemical divide in the Atlantic Ocean between well-ventilated intermediate water and poorly ventilated deep water. We suggest these changes in interbasinal and vertical gradients resulted from decreasing Northern Component Water and reduced ventilation of Southern Component Water (SCW). The latter was caused by several interrelated processes in Antarctic sources areas, including increased sea ice cover, enhanced surface water stratification, decreased Ekman-induced upwelling, and reduced vertical mixing across the thermocline. Because Antarctic surface water processes and deepwater ventilation rates ultimately influence atmospheric CO2 concentration, these processes may have acted as a positive feedback that contributed to the major cooling steps in late Neogene climate.</t>
  </si>
  <si>
    <t>Univ Florida, Dept Geol Sci, Gainesville, FL 32611 USA</t>
  </si>
  <si>
    <t>State University System of Florida; University of Florida</t>
  </si>
  <si>
    <t>Hodell, DA (corresponding author), Univ Florida, Dept Geol Sci, 241 Williamson Hall,POB 112120, Gainesville, FL 32611 USA.</t>
  </si>
  <si>
    <t>hodell@ufl.edu</t>
  </si>
  <si>
    <t>Hodell, David/0000-0001-8537-1588</t>
  </si>
  <si>
    <t>SEP 6</t>
  </si>
  <si>
    <t>Q09001</t>
  </si>
  <si>
    <t>10.1029/2005GC001211</t>
  </si>
  <si>
    <t>082VS</t>
  </si>
  <si>
    <t>WOS:000240415900001</t>
  </si>
  <si>
    <t>Maruo, M; Doi, T; Obata, H</t>
  </si>
  <si>
    <t>Maruo, Masahiro; Doi, Takashi; Obata, Hajime</t>
  </si>
  <si>
    <t>Onboard determination of submicromolar nitrate in seawater by anion-exchange chromatography with lithium chloride eluent</t>
  </si>
  <si>
    <t>ANALYTICAL SCIENCES</t>
  </si>
  <si>
    <t>ION CHROMATOGRAPHY; SEA-WATER; NITRITE; BROMIDE; COLUMNS; IODIDE; CETYLTRIMETHYLAMMONIUM; BEHAVIOR; OCEAN</t>
  </si>
  <si>
    <t>Ion-exchange chromatography using a high-capacity anion exchanger with UV detection was applied to the determination of nitrate in seawater. Major ions in seawater samples did not affect the peak shape and the retention time of the nitrate when an alkaline metal cation-chloride solution was used as an eluent at high concentrations (0.5 - 2 mol/l). At a wavelength of 220 nm, the peak of bromide was very small because of low absorption, while its separation from the nitrate peak was good at high concentrations. Among the eluents tested, lithium chloride gave the best separation of nitrate from bromide. It was estimated that the lithium ion had the least potential for ion-pair formation with nitrate, and its retention time was prolonged compared with the retention times when using other cations; with bromide and nitrite, such an effect was not observed. The results of shipboard seawater nitrate determination by our method in the South Pacific Ocean and Antarctic Sea showed good agreement with those by the conventional photometric method using continuous flow.</t>
  </si>
  <si>
    <t>Univ Shiga Prefecture, Sch Environm Sci, Shiga 5228533, Japan; Univ Tokyo, Ocean Res Inst, Nakano Ku, Tokyo 1648653, Japan</t>
  </si>
  <si>
    <t>University Shiga Prefecture; University of Tokyo</t>
  </si>
  <si>
    <t>Maruo, M (corresponding author), Univ Shiga Prefecture, Sch Environm Sci, Shiga 5228533, Japan.</t>
  </si>
  <si>
    <t>Maruo, Masahiro/HTT-1182-2023</t>
  </si>
  <si>
    <t>JAPAN SOC ANALYTICAL CHEMISTRY</t>
  </si>
  <si>
    <t>26-2 NISHIGOTANDA 1 CHOME SHINAGAWA-KU, TOKYO, 141, JAPAN</t>
  </si>
  <si>
    <t>0910-6340</t>
  </si>
  <si>
    <t>ANAL SCI</t>
  </si>
  <si>
    <t>Anal. Sci.</t>
  </si>
  <si>
    <t>SEP</t>
  </si>
  <si>
    <t>10.2116/analsci.22.1175</t>
  </si>
  <si>
    <t>086JL</t>
  </si>
  <si>
    <t>WOS:000240669500004</t>
  </si>
  <si>
    <t>Walton, D</t>
  </si>
  <si>
    <t>Walton, David</t>
  </si>
  <si>
    <t>Making conservation work</t>
  </si>
  <si>
    <t>Walton, David/0000-0002-7103-4043</t>
  </si>
  <si>
    <t>Natural Environment Research Council [bas010011] Funding Source: researchfish; NERC [bas010011] Funding Source: UKRI</t>
  </si>
  <si>
    <t>10.1017/S0954102006000332</t>
  </si>
  <si>
    <t>085LV</t>
  </si>
  <si>
    <t>WOS:000240606500001</t>
  </si>
  <si>
    <t>Hawksworth, DL; Iturriaga, T</t>
  </si>
  <si>
    <t>Hawksworth, David L.; Iturriaga, Teresa</t>
  </si>
  <si>
    <t>Lichenicolous fungi described from Antarctica and the sub-Antarctic islands by Carroll W. Dodge (1895-1988)</t>
  </si>
  <si>
    <t>ascomycota; discomycetes; hyphomycetes; lichens; pyrenomycetes; taxonomy</t>
  </si>
  <si>
    <t>GENUS; DOTHIDEALES</t>
  </si>
  <si>
    <t>The identities of the 12 lichenicolous fungi described as new to science from the Antarctic and sub-Antarctic islands by Carroll W. Dodge between 1938 and 1968 are reassessed on the basis of the original publications, and where extant the original collections and slides in the Farlow Herbarium and Reference Library (Harvard University, Cambridge, MA, USA). Typifications are discussed and lectotypes and neotypes designated as necessary. Only one species is accepted in its original placement (Phacopsis usneae) and one had already been transferred to an appropriate genus (Didymella cladoniae to Zwackhiomyces). Six prove to be synonyms of previously described species, and four are combined into other genera here: Arthonia parmeliae (syn. Diplonaevia parmeliae), Carbonea antarctica (syn. Alectoria antarctica), Sphaerellothecium buelliae (syn. Orbicula buelliae), and Weddelomyces gasparriniae (syn. Phaeospora gasparriniae) combs. nov. The generic name Thelidiola is also confirmed as a synonym of Muellerella. In addition, as a result of earlier misinterpretations of Dodge's taxa, two new species are described: Endococcus matzeri, and Zwachkiomyces diederichii spp. nov. Intralichen lichenum is also reported from the Antarctic for the first time. Descriptions and illustrations are included where appropriate.</t>
  </si>
  <si>
    <t>Univ Complutense, Fac Farm, Dept Biol Vegetal 2, ES-28040 Madrid, Spain; Univ Simon Bolivar, Dept Biol Organism, Baruta, Edo Miranda, Venezuela</t>
  </si>
  <si>
    <t>Complutense University of Madrid; Simon Bolivar University</t>
  </si>
  <si>
    <t>Hawksworth, DL (corresponding author), MycoNova, Yellow House,Calle Aguila 12,Colonia Maliciosa, ES-28492 Madrid, Spain.</t>
  </si>
  <si>
    <t>myconova@terra.es</t>
  </si>
  <si>
    <t>10.1017/S0954102006000344</t>
  </si>
  <si>
    <t>WOS:000240606500002</t>
  </si>
  <si>
    <t>Sinclair, BJ; Scott, MB; Klok, CJ; Terblanche, JS; Marshall, DJ; Reyers, B; Chown, SL</t>
  </si>
  <si>
    <t>Sinclair, Brent J.; Scott, Matthew B.; Klok, C. Jaco; Terblanche, John S.; Marshall, David J.; Reyers, Belinda; Chown, Steven L.</t>
  </si>
  <si>
    <t>Determinants of terrestrial arthropod community composition at Cape Hallett, Antarctica</t>
  </si>
  <si>
    <t>acari; Antarctic Specially Protected Area; Collembola; mites; spatial distribution; springtails</t>
  </si>
  <si>
    <t>VICTORIA-LAND; ROSS ISLAND; ECOSYSTEM RESPONSE; CLIMATE-CHANGE; COLLEMBOLA; INVERTEBRATES; PHYSIOLOGY; ABUNDANCE; HABITAT</t>
  </si>
  <si>
    <t>The distribution and abundance of free-living arthropods from soil and under stones were surveyed at the Cape Hallett ice-free area (ASPA No. 106), North Victoria Land, Antarctica. A total of 327 samples from 67 plots yielded 11 species of arthropods comprised of three Collembola: Cryptopygus cisantarcticus, Friesea grisea and Isotoma klovstadi and eight mites: Coccorhagidia gressitti, Eupodes wisei, Maudheimia petronia, Nanorchestes sp., Stereotydeus belli, S. punctatus, Tydeus setsukoae and T wadei. Arthropods were absent from areas occupied by the large Adelie penguin colony. There was some distinction among arthropod communities of different habitats, with water and a lichen species (indicative of scree slope habitats) ranking as significant community predictors alongside spatial variables in a Canonical Correspondence Analysis. Recent changes to the management plan for ASPA No. 106 may need to be revisited as the recommended campsite is close to the area of greatest arthropod diversity.</t>
  </si>
  <si>
    <t>Univ Stellenbosch, Dept Bot &amp; Zool, Spatial Physiol &amp; Conservat Ecol Grp, ZA-7600 Stellenbosch, South Africa; Univ Otago, Dept Bot, Dunedin, New Zealand; CSIR, Environmentek, ZA-7600 Stellenbosch, South Africa; Univ Stellenbosch, Dept Bot &amp; Zool, Ctr Invas Biol, ZA-7600 Stellenbosch, South Africa; Univ Brunei Darussalam, Dept Biol, BE-1410 Gadong, Brunei</t>
  </si>
  <si>
    <t>Stellenbosch University; University of Otago; Council for Scientific &amp; Industrial Research (CSIR) - South Africa; Stellenbosch University; University Brunei Darussalam</t>
  </si>
  <si>
    <t>Sinclair, BJ (corresponding author), Univ Nevada, Dept Biol Sci, Las Vegas, NV 89154 USA.</t>
  </si>
  <si>
    <t>celatoblatta@yahoo.co.uk</t>
  </si>
  <si>
    <t>Reyers, Belinda/AAF-6225-2019; Chown, Steven L/H-3347-2011; Sinclair, Brent J/C-6133-2012; Chown, Steven/ABD-7646-2021; Terblanche, John/AAB-4457-2020</t>
  </si>
  <si>
    <t>Reyers, Belinda/0000-0002-2194-8656; Scott, Matthew/0000-0002-9629-1521; Sinclair, Brent/0000-0002-8191-9910; Terblanche, John/0000-0001-9665-9405; Marshall, David/0000-0003-3771-5950</t>
  </si>
  <si>
    <t>10.1017/S0954102006000356</t>
  </si>
  <si>
    <t>WOS:000240606500003</t>
  </si>
  <si>
    <t>Aislabie, JM; Broady, PA; Saul, DJ</t>
  </si>
  <si>
    <t>Aislabie, Jackie M.; Broady, Paula A.; Saul, David J.</t>
  </si>
  <si>
    <t>Culturable aerobic heterotrophic bacteria from high altitude, high latitude soil of La Gorce Mountains (86°30'S, 147°W), Antarctica</t>
  </si>
  <si>
    <t>environmental tolerances; microbial physiology; terrestrial ecosystems</t>
  </si>
  <si>
    <t>MCMURDO DRY VALLEYS; GEN. NOV.; DIVERSITY; DESICCATION; PROKARYOTES; REGION; SAMPLE; RANGE</t>
  </si>
  <si>
    <t>Eleven aerobic heterotrophic bacteria isolated from soil samples taken at c. 1800 m altitude from La Gorce Mountains, Antarctica, were characterized in terms of carbon source utilization, enzymatic activities and tolerance to environmental stressors. The bacteria typically formed pigmented colonies on agar plates and were initially observed on media designed for isolation of algae and cyanobacteria. The bacteria were purified and assigned to the Actinobacteria, Bacteroidetes or Proteobacteria divisions following 16S rRNA gene sequence analysis. While some of the isolates are most likely to belong to the genera Arthrobacter or Brevundimonas, others may belong to novel genera or species. The Gram-positive Actinobacteria used the widest range of carbon sources for growth. Brevundimonas P7 produced lipases, phosphatases, proteases and glycosyl-hydrolases. The Gram-positive bacteria were more tolerant to freeze-thaw than the Gram-negative isolates. No isolates survived more than 10 minutes ultraviolet irradiation. All isolates were unaffected by 24 h desiccation. This study adds to knowledge of the bacterial diversity of soils from high altitude (1800 m), high latitude (86 degrees 30'S) locations within Antarctica.</t>
  </si>
  <si>
    <t>Landcare Res, Hamilton, New Zealand; Univ Canterbury, Sch Biol Sci, Christchurch 1, New Zealand; Univ Auckland, Sch Biol Sci, Auckland 1, New Zealand</t>
  </si>
  <si>
    <t>Landcare Research - New Zealand; University of Canterbury; University of Auckland</t>
  </si>
  <si>
    <t>10.1017/S0954102006000368</t>
  </si>
  <si>
    <t>WOS:000240606500004</t>
  </si>
  <si>
    <t>Cannone, N; Evans, JCE; Strachan, R; Guglielmin, M</t>
  </si>
  <si>
    <t>Cannone, N.; Evans, J. C. Ellis; Strachan, R.; Guglielmin, M.</t>
  </si>
  <si>
    <t>Interactions between climate, vegetation and the active layer in soils at two Maritime Antarctic sites</t>
  </si>
  <si>
    <t>ground temperature; permafrost; South Shetland Islands; South Orkney Islands; vegetation buffering effect</t>
  </si>
  <si>
    <t>WILKES-LAND; PERMAFROST; SNOW; ECOSYSTEMS; MOISTURE; ISLANDS; ALASKA; ALPS</t>
  </si>
  <si>
    <t>In the summer 2000-01, thermal monitoring of the permafrost active layer within various terrestrial sites covered by lichen, moss or grasses was undertaken at Jubany (King George Island) and Signy Island in the Maritime Antarctic. The results demonstrated the buffering effect of vegetation on ground surface temperature (GST) and the relationship between vegetation and active layer thickness. Vegetation type and coverage influenced the GST in both locations with highest variations and values in the Deschampsia and Usnea sites and the lowest variations and values in the Jubany moss site. Active layer thickness ranged from 57 cm (Jubany moss site) to 227 cm (Signy Deschampsia site). Active layer thickness data from Signy were compared with data collected at the same location four decades earlier. Using a regression equation for air temperature versus ground surface temperatures the patterns of changing air temperature over time suggest that the active layer thickness increased c. 30 cm between 1963 and 1990 and then decreased 30 cm between 1990 and 2000. The documented increased rate of warming (2 degrees C +/- 1) since 1950 for air temperatures recorded in the South Orkney Islands suggests that the overall trend of active layer thickness increase will be around 1 cm year(-1).</t>
  </si>
  <si>
    <t>Univ Ferrara, Dept Nat &amp; Cultural Resources, I-44100 Ferrara, Italy; British Antarctic Survey, NERC, Cambridge CB3 0ET, England; Univ Insubria Varese, DBSF, I-21200 Varese, Italy</t>
  </si>
  <si>
    <t>University of Ferrara; UK Research &amp; Innovation (UKRI); Natural Environment Research Council (NERC); NERC British Antarctic Survey; University of Insubria</t>
  </si>
  <si>
    <t>Cannone, N (corresponding author), Univ Ferrara, Dept Nat &amp; Cultural Resources, Corso Ercole I Deste,32, I-44100 Ferrara, Italy.</t>
  </si>
  <si>
    <t>10.1017/S095410200600037X</t>
  </si>
  <si>
    <t>WOS:000240606500005</t>
  </si>
  <si>
    <t>Luz, AP; Ciapina, EMP; Gamba, RC; Laurett, MS; Farias, EWC; Bicego, MC; Taniguchi, S; Montone, RC; Pellizari, VH</t>
  </si>
  <si>
    <t>Luz, A. P.; Ciapina, E. M. P.; Gamba, R. C.; Laurett, M. S.; Farias, E. W. C.; Bicego, M. C.; Taniguchi, S.; Montone, R. C.; Pellizari, V. H.</t>
  </si>
  <si>
    <t>Potential for bioremediation of hydrocarbon polluted soils in the Maritime Antarctic</t>
  </si>
  <si>
    <t>cold adapted bacteria; diesel fuel; hydrocarbon degradation; South Shetland Islands</t>
  </si>
  <si>
    <t>KING-GEORGE-ISLAND; VALDEZ OIL-SPILL; CRUDE-OIL; CONTAMINATED SOIL; ARCTOWSKI-STATION; DIESEL FUEL; BACTERIA; BIOAUGMENTATION; BIODEGRADATION; BIOSTIMULATION</t>
  </si>
  <si>
    <t>Human activity in the Antarctic requires the use of petroleum hydrocarbons as the main energy source for a variety of operations. In the current study, in situ soil microcosms were constructed in the proximity of the Brazilian Antarctic Station Comandante Ferraz, King George Island, South Shetland Islands, to analyse the effect of oil amendment on the indigenous bacterial community in contaminated and uncontaminated sites to assess the potential for bioremediation. Microcosms were sampled for heterotrophic and hydrocarbon-degrader bacterial counts, pH, temperature, moisture, nutrient levels and petroleum hydrocarbons. Total organic carbon, nitrogen and phosphorus contents were generally low in the Antarctic cryosols. According to statistical analysis based on Colony Forming Unit numbers, significant bacterial populations were present in all microcosms, with larger numbers observed in oil amended than in non-amended soils. Aliphatic and aromatic fractions of diesel fuel were detected in the soil microcosms, and significant quantities were removed during the experiment. These results strongly suggest that the cold-adapted bacterial community present in soils around the Brazilian Antarctic station has the potential to adapt and utilize the oil as a carbon source. This knowledge can contribute both to bioremediation technology and the goals of the the Antarctic Treaty which prohibits the introduction of foreign organisms into the region.</t>
  </si>
  <si>
    <t>Univ Sao Paulo, Dept Microbiol, Inst Biomed Sci, BR-05508900 Sao Paulo, Brazil; Univ Sao Paulo, Dept Stat, Inst Math &amp; Stat, BR-05508900 Sao Paulo, Brazil; Univ Sao Paulo, Dept Chem Phys &amp; Geol Oceanog, Oceanog Inst, BR-05508900 Sao Paulo, Brazil</t>
  </si>
  <si>
    <t>Universidade de Sao Paulo; Universidade de Sao Paulo; Universidade de Sao Paulo</t>
  </si>
  <si>
    <t>Pellizari, VH (corresponding author), Univ Sao Paulo, Dept Microbiol, Inst Biomed Sci, Prof Lineu Prestes Ave,1374,Cidade Univ, BR-05508900 Sao Paulo, Brazil.</t>
  </si>
  <si>
    <t>vivianp@usp.br</t>
  </si>
  <si>
    <t>Lauretto, Marcelo/J-1964-2012; Bicego, Marcia C/D-1996-2013; Montone, Rosalinda C/J-9110-2012; Taniguchi, Satie/D-2552-2013; Pellizari, Vivian/J-9153-2012</t>
  </si>
  <si>
    <t>Lauretto, Marcelo/0000-0001-5507-2368; Taniguchi, Satie/0000-0002-6825-6390; Bicego, Marcia/0000-0002-9939-9853; Pellizari, Vivian/0000-0003-2757-6352</t>
  </si>
  <si>
    <t>10.1017/S0954102006000381</t>
  </si>
  <si>
    <t>WOS:000240606500006</t>
  </si>
  <si>
    <t>Cunningham, GB; Van Buskirk, RW; Hodges, MJ; Weimerskirch, H; Nevitt, GA</t>
  </si>
  <si>
    <t>Cunningham, Gregory B.; Van Buskirk, Richard W.; Hodges, Mark J.; Weimerskirch, Henri; Nevitt, Gabrielle A.</t>
  </si>
  <si>
    <t>Behavioural responses of blue petrel chicks (Halobaena caerulea) to food-related and novel odours in a simple wind tunnel</t>
  </si>
  <si>
    <t>development; foraging; Kerguelen; olfaction; procellariiform</t>
  </si>
  <si>
    <t>ANTARCTIC PROCELLARIIFORM SEABIRDS; DIMETHYL SULFIDE; DIVING PETREL; LEACHS PETREL; STORM-PETREL; RECOGNITION; NEST; DISCRIMINATION; BIRDS; KRILL</t>
  </si>
  <si>
    <t>As a first step towards understanding the development of olfactory behaviours in Antarctic procellariiform seabirds, we recently showed that blue petrel chicks (Halobaena caerulea) could detect both a food-related and a novel odour while asleep. In this current study, we tested chicks in a simple wind tunnel to determine if exploratory behaviours could be initiated by olfactory stimuli as well. We compared the behavioural responses of 30 blue petrel chicks to cod liver oil (a prey-related odour) or phenyl ethyl alcohol (an unfamiliar, rosy-smelling odourant) against a control (distilled water). Six behavioural indices were measured, including head turns, body turns, bites, preening events, wing-stretches, and distance walked. In response to cod liver oil, we found that chicks increased both turning rates and distances walked whereas chicks preened more in response to phenyl ethyl alcohol. Since only cod liver oil initiated behaviours consistent with searching, our results suggest that chicks are attaching biological significance to food-related odours even before they leave the burrow to forage for the first time.</t>
  </si>
  <si>
    <t>Univ Calif Davis, Ctr Anim Behav, Davis, CA 95616 USA; Univ Calif Davis, Sect Neurobiol Physiol &amp; Behav, Davis, CA 95616 USA; CNRS, Ctr Etud Biol Chize, F-79360 Villiers En Bois, France</t>
  </si>
  <si>
    <t>University of California System; University of California Davis; University of California System; University of California Davis; Centre National de la Recherche Scientifique (CNRS)</t>
  </si>
  <si>
    <t>Cunningham, GB (corresponding author), Univ Calif Davis, Ctr Anim Behav, 1 Shields Ave, Davis, CA 95616 USA.</t>
  </si>
  <si>
    <t>gcunnin1@swarthmore.edu</t>
  </si>
  <si>
    <t>Weimerskirch, Henri/K-7306-2019; Weimerskirch, Henri/F-5562-2013</t>
  </si>
  <si>
    <t>Weimerskirch, Henri/0000-0002-0457-586X;</t>
  </si>
  <si>
    <t>10.1017/S0954102006000393</t>
  </si>
  <si>
    <t>WOS:000240606500007</t>
  </si>
  <si>
    <t>Wallensten, A; Munster, VJ; Osterhaus, ADME; Waldenström, J; Bonnedahl, J; Broman, T; Fouchier, RAM; Olsen, B</t>
  </si>
  <si>
    <t>Wallensten, Anders; Munster, Vincent J.; Osterhaus, Albert D. M. E.; Waldenstrom, Jonas; Bonnedahl, Jonas; Broman, Tina; Fouchier, Ron A. M.; Olsen, Bjorn</t>
  </si>
  <si>
    <t>Mounting evidence for the presence of influenza A virus in the avifauna of the Antarctic region</t>
  </si>
  <si>
    <t>avian influenza; RT-PCR; serology; sub-Antarctica</t>
  </si>
  <si>
    <t>WILD BIRDS; SURVEILLANCE; PERSISTENCE; ANTIBODIES; DUCKS; WATER</t>
  </si>
  <si>
    <t>Penguin blood samples collected at Bird Island, sub-Antarctic South Georgia, and faecal samples taken from penguins at several localities along the Antarctic Peninsula were analysed in order to investigate if influenza A virus is present in penguin populations in the South Atlantic Antarctic region. Serology was performed on the blood samples while the faecal samples were screened by a RT-PCR method directed at the matrix protein gene for determining the presence of influenza A virus. All faecal samples were negative by PCR, but the blood samples gave serologic indications that influenza A virus is present amongst these penguin species, confirming previous studies, although the virus has still not been isolated from any bird in the Antarctic region.</t>
  </si>
  <si>
    <t>Umea Univ, Dept Infect Dis, SE-90187 Umea, Sweden; Kalmar Cty Council, Smedby Hlth Ctr, SE-39471 Kalmar, Sweden; Linkoping Univ, Fac Hlth Sci, Div Virol, Dept Mol &amp; Clin Med,IMK, SE-58185 Linkoping, Sweden; Erasmus MC, Dept Virol, NL-3015 GE Rotterdam, Netherlands; Erasmus MC, Natl Influenza Ctr, NL-3015 GE Rotterdam, Netherlands; Lund Univ, Dept Anim Ecol, SE-22362 Lund, Sweden; Swedish Def Res Agcy, NBC Def, Dept NBC Anal, SE-90182 Umea, Sweden; Kalmar Univ, Sect Zoonot Ecol &amp; Epidemiol, Dept Biol &amp; Environm Sci, SE-39182 Kalmar, Sweden</t>
  </si>
  <si>
    <t>Umea University; Linkoping University; Erasmus University Rotterdam; Erasmus MC; Erasmus University Rotterdam; Erasmus MC; Lund University; Saab Group; University of Kalmar; Linnaeus University</t>
  </si>
  <si>
    <t>Olsen, B (corresponding author), Umea Univ, Dept Infect Dis, SE-90187 Umea, Sweden.</t>
  </si>
  <si>
    <t>bjornol@ltkalmar.se</t>
  </si>
  <si>
    <t>Munster, Vincent/I-7607-2018; Fouchier, Ron A/A-1911-2014; Bonnedahl, Jonas/GZG-8435-2022; Waldenström, Jonas/E-4460-2013</t>
  </si>
  <si>
    <t>Munster, Vincent/0000-0002-2288-3196; Fouchier, Ron A/0000-0001-8095-2869; Waldenström, Jonas/0000-0002-1152-4235; Olsen, Bjorn/0000-0002-4646-691X; Bonnedahl, Jonas/0000-0002-3182-389X</t>
  </si>
  <si>
    <t>10.1017/S095410200600040X</t>
  </si>
  <si>
    <t>WOS:000240606500008</t>
  </si>
  <si>
    <t>Jiménez-Berrocoso, A; Olivero, EB; Elorza, J</t>
  </si>
  <si>
    <t>Jimenez-Berrocoso, Alvaro; Olivero, Eduardo B.; Elorza, Javier</t>
  </si>
  <si>
    <t>New petrographic and geochemical insights on diagenesis and palaeoenvi ron mental stress in Late Cretaceous inoceramid shells from the James Ross Basin, Antarctica</t>
  </si>
  <si>
    <t>campanian; cathodoluminescence; geochemistry; inoceramid extinction; low Mg calcite microstructure; shell growth</t>
  </si>
  <si>
    <t>RARE-EARTH-ELEMENT; WESTERN INTERIOR SEAWAY; SOUTHERN HIGH-LATITUDES; ISOTOPE COMPOSITION; BIVALVE SHELLS; NORTHERN SPAIN; EXTINCTION; STRATIGRAPHY; CLIMATE; ISLAND</t>
  </si>
  <si>
    <t>New petrographic and geochemical insights from inoceramid bivalve shells of lower Campanian (Marambio Group, James Ross Basin, Antarctica) show that they suffered significant palaeoenvironmental stress just before their disappearance in the southern high latitudes. Inoceramid data have mainly been derived from shell fragments of the large form Antarcticeramus rabotensis Crame &amp; Luther, collected at stratigraphical levels marking the early disappearance of inoceramids in the James Ross Basin (10 m.y. before the Cretaceous/Tertiary boundary in Antarctica). Cathodoluminescence studies and minor and trace element intra-shell variations in A. rabotensis shells, along with their whole shell geochemistry (major, minor, and trace elements, including REE), have revealed evidence of only weak diagenesis but significant palaeoenvironmental stress. The most relevant evidence of such adverse palaeoenvironmental conditions in A. rabotensis shells is reflected by marked growth interruptions in the normal shell layering, including the occurrence of a previously undetected inner aragonitic nacreous layer formed of alternating aragonitic and calcitic sublayers. The weak diagenesis produced characteristic geochemical intra-shell variations, which have subsequently been detected in the inoceramid shell microstructure, especially in the inner aragonitic nacreous layer.</t>
  </si>
  <si>
    <t>Univ Basque Country, Dept Mineral &amp; Petrol, E-48080 Bilbao, Spain; Consejo Nacl Invest Cient &amp; Tecn, CADIC, Ctr Austral Invest Cient, RA-9410 Ushuaia, TierraFuego, Argentina</t>
  </si>
  <si>
    <t>University of Basque Country; Consejo Nacional de Investigaciones Cientificas y Tecnicas (CONICET)</t>
  </si>
  <si>
    <t>Elorza, J (corresponding author), Univ Basque Country, Dept Mineral &amp; Petrol, Apartado 644, E-48080 Bilbao, Spain.</t>
  </si>
  <si>
    <t>nppelzaj@lg.ehu.es</t>
  </si>
  <si>
    <t>10.1017/S0954102006000411</t>
  </si>
  <si>
    <t>WOS:000240606500009</t>
  </si>
  <si>
    <t>Hall, K; André, MF</t>
  </si>
  <si>
    <t>Hall, Kevin; Andre, Marie-Francoise</t>
  </si>
  <si>
    <t>Temperature observations in Antarctic tafoni:: implications for weathering, biological colonization, and tafoni formation</t>
  </si>
  <si>
    <t>flaking; formative processes; granular disintegration; humidity</t>
  </si>
  <si>
    <t>NORTHERN VICTORIA LAND; GRANITE</t>
  </si>
  <si>
    <t>Tafoni have long been recognized, measured and discussed within the Antarctic context. However, with respect to the formative processes tafoni still remain somewhat of an enigma. In terms of the weathering attributes of tafoni, one problem is the monitoring of environmental conditions without the transducers themselves altering that environment. The application of ultra-small thermocouples provides an avenue for monitoring of rock surface temperatures without influence on the tafoni environment. At an Antarctic site temperatures were measured both inside and outside of a tafone, with data at 20 second intervals. These data show a spatial variability that may help explain tafoni development, at least in terms of weathering. Humidity data indicate that moisture conditions are very low such that water-based weathering processes are temporally and spatially constrained. The presence of several episodes of extreme temperature variations indicates that thermal stress may be an important contributor to weathering here. It is argued that the absence of any endolithic communities (at this site) within the sandstone, in which the tafoni develop, is a reflection of weathering rates that exceed the ability of organisms to invade and colonize the rock. At the present time, weathering appears to be primarily in the form of granular disintegration and flaking.</t>
  </si>
  <si>
    <t>Univ Pretoria, Dept Geog Geoinformat &amp; Meteorol, ZA-0002 Pretoria, South Africa; Univ Clermont Ferrand, UMR 6042, CNRS, Lab Geog Phys, F-63057 Clermont Ferrand, France</t>
  </si>
  <si>
    <t>University of Pretoria; Universite Clermont Auvergne (UCA); Centre National de la Recherche Scientifique (CNRS); CNRS - Institute of Ecology &amp; Environment (INEE)</t>
  </si>
  <si>
    <t>Hall, K (corresponding author), Univ No British Columbia, Geog Program, 3333 Univ Way, Prince George, BC V2N 4Z9, Canada.</t>
  </si>
  <si>
    <t>hall@unbc.ca</t>
  </si>
  <si>
    <t>10.1017/S0954102006000423</t>
  </si>
  <si>
    <t>WOS:000240606500010</t>
  </si>
  <si>
    <t>Levy, JS; Marchant, DR; Head, JW</t>
  </si>
  <si>
    <t>Levy, Joseph S.; Marchant, David R.; Head, James W., III</t>
  </si>
  <si>
    <t>Distribution and origin of patterned ground on Mullins Valley debris-covered glacier, Antarctica: the roles of ice flow and sublimation</t>
  </si>
  <si>
    <t>Dry Valleys; ice theology; polygon; soil-forming processes; sublimation till</t>
  </si>
  <si>
    <t>BEACON VALLEY; MARS</t>
  </si>
  <si>
    <t>We map polygonally patterned ground formed in sublimation tills that overlie debris-covered glaciers in Mullins Valley and central Beacon Valley, in southern Victoria Land, Antarctica, and distinguish five morphological zones. Where the Mullins Valley debris-covered glacier debouches into Beacon Valley, polygonal patterning transitions from radial (orthogonal) intersections to non-oriented (hexagonal) intersections, providing a time-series of polygon evolution within a single microclimate. We offer the following model for polygon formation and evolution in the Mullins Valley system. Near-vertical cracks that ultimately outline polygons are produced by thermal contraction in the glacier ice. Some of these cracks may initially be oriented radial to maximum surface velocities by pre-existing structural stresses and material weaknesses in the glacier ice. In areas of relatively rapid flow, polygons are oriented down-valley forming an overall fan pattern radial to maximum ice velocity. As glacier flow moves the cracks down-valley, minor variations in flow rate deform polygons, giving rise to deformed radial polygons. Non-oriented (largely hexagonal) polygons commonly form in regions of stagnant and/or near-stagnant ice. We propose that orientation and morphology of contraction-crack polygons in sublimation tills can thus be used as an indicator of rates of subsurface ice flow.</t>
  </si>
  <si>
    <t>Brown Univ, Dept Geol Sci, Providence, RI 02912 USA; Boston Univ, Dept Earth Sci, Boston, MA 02215 USA</t>
  </si>
  <si>
    <t>Brown University; Boston University</t>
  </si>
  <si>
    <t>Levy, JS (corresponding author), Brown Univ, Dept Geol Sci, Providence, RI 02912 USA.</t>
  </si>
  <si>
    <t>Levy, Joseph/0000-0002-6222-139X</t>
  </si>
  <si>
    <t>10.1017/S0954102006000435</t>
  </si>
  <si>
    <t>WOS:000240606500011</t>
  </si>
  <si>
    <t>Smellie, JL; McIntosh, WC; Esser, R; Fretwell, P</t>
  </si>
  <si>
    <t>Smellie, J. L.; McIntosh, W. C.; Esser, R.; Fretwell, P.</t>
  </si>
  <si>
    <t>The Cape Purvis volcano, Dundee Island (northern Antarctic Peninsula): late Pleistocene age, eruptive processes and implications for a glacial palaeoenvironment</t>
  </si>
  <si>
    <t>hawaiite; hyaloclastite; ice sheet; lava-fed delta; Pleistocene; subglacial</t>
  </si>
  <si>
    <t>MARIE-BYRD LAND; EVOLUTION; ICE</t>
  </si>
  <si>
    <t>Cape Purvis is a conspicuous promontory on southern Dundee Island. It forms a prominent mesa that contrasts with the smooth, shield-like (snow-covered) topography of the remainder of the island. The promontory is composed of fresh alkaline basaltic (hawaiite) volcanic rocks compositionally similar to younger lavas on Paulet Island 5 km to the east. The outcrop is one of the youngest and northernmost satellite centres of the James Ross Island Volcanic Group. 40Ar/39Ar isotopic dating indicates that the Cape Purvis volcano is 132 +/- 19 ka in age. The examined sequence probably formed as a lava-fed delta during a subglacial eruption late in the glacial period corresponding to Isotope Stage 6, when the ice sheet surface elevation was 300-400 in higher than at present. A remarkable unidirectional age progression is now evident, from volcanic centres in Prince Gustav Channel (e. 2.0-1.6 Ma), through Tabarin Peninsula (1.69 - c. 1 Ma) to Cape Purvis and Paulet islands (132-few ka). The age variations are tentatively ascribed to construction of progressively younger volcanic centres at the leading edge of an easterly-opening deep fault system, although the origins of the postulated fault system are unclear.</t>
  </si>
  <si>
    <t>British Antarctic Survey, Cambridge CB3 0ET, England; New Mexico Inst Min &amp; Technol, New Mexico Gerontol Res Ctr, Socorro, NM 87801 USA</t>
  </si>
  <si>
    <t>UK Research &amp; Innovation (UKRI); Natural Environment Research Council (NERC); NERC British Antarctic Survey; New Mexico Institute of Mining Technology</t>
  </si>
  <si>
    <t>jlsm@bas.ac.uk</t>
  </si>
  <si>
    <t>Natural Environment Research Council [bas010019] Funding Source: researchfish; NERC [bas010019] Funding Source: UKRI</t>
  </si>
  <si>
    <t>10.1017/S0954102006000447</t>
  </si>
  <si>
    <t>WOS:000240606500012</t>
  </si>
  <si>
    <t>Kenneally, JP; Hughes, T</t>
  </si>
  <si>
    <t>Kenneally, J. P.; Hughes, T.</t>
  </si>
  <si>
    <t>Calving giant icebergs: old principles, new applications</t>
  </si>
  <si>
    <t>climate; glaciology; West Antarctic Ice Sheet</t>
  </si>
  <si>
    <t>ANTARCTIC ICE-SHEET; FRACTURE-MECHANICS APPROACH; WEST ANTARCTICA; HARDENING MATERIAL; BOTTOM CREVASSES; THWAITES GLACIER; BREAK-UP; SHELF; CRACK; VELOCITY</t>
  </si>
  <si>
    <t>Earth-orbiting satellites can now monitor calving of large icebergs from ice shelves bordering the marine West Antarctic Ice Sheet, and recent calving events have stimulated interest in calving mechanisms. To advance this interest pioneering work in brittle and ductile fracture mechanics is reviewed, leading to a new application to calving of giant icebergs from Antarctic ice shelves. The aim is to view iceberg calving as more than terminal events for Antarctic ice when glaciologists lose interest. Instead calving launches Antarctic ice into the larger dynamic system of Earth's climate machine. This encourages a holistic approach to glaciology.</t>
  </si>
  <si>
    <t>Univ Maine, Dept Phys, Orono, ME 04469 USA; Univ Maine, Climate Change Inst, Orono, ME 04469 USA; Univ Maine, Dept Earth Sci, Orono, ME 04469 USA</t>
  </si>
  <si>
    <t>University of Maine System; University of Maine Orono; University of Maine System; University of Maine Orono; University of Maine System; University of Maine Orono</t>
  </si>
  <si>
    <t>Kenneally, JP (corresponding author), Univ Maine, Dept Phys, Orono, ME 04469 USA.</t>
  </si>
  <si>
    <t>10.1017/S0954102006000459</t>
  </si>
  <si>
    <t>WOS:000240606500013</t>
  </si>
  <si>
    <t>Kowalewski, DE; Marchant, DR; Levy, JS; Head, JW</t>
  </si>
  <si>
    <t>Kowalewski, D. E.; Marchant, D. R.; Levy, J. S.; Head, J. W.</t>
  </si>
  <si>
    <t>Quantifying low rates of summertime sublimation for buried glacier ice in Beacon Valley, Antarctica</t>
  </si>
  <si>
    <t>climate change; Dry Valleys; ice cores; meteorology; Miocene; permafrost; Pliocene</t>
  </si>
  <si>
    <t>TILL</t>
  </si>
  <si>
    <t>A remnant of Taylor Glacier ice rests beneath a 40-80 cm thick layer of sublimation till in central Beacon Valley, Antarctica. A vapour diffusion model was developed to track summertime vapour flow within this till. As input, we used meteorological data from installed HOBO data loggers that captured changes in solar radiance, atmospheric temperature, relative humidity, soil temperature, and soil moisture from 18 November 2004-29 December 2004. Model results show that vapour flows into and out of the sublimation till at rates dependent on the non-linear variation of soil temperature with depth. Although measured meteorological conditions during the study interval favoured a net loss of buried glacier ice (similar to 0.017 mm), we show that ice preservation is extremely sensitive to minor perturbations in temperature and relative humidity. Net loss of buried glacier ice is reduced to zero (during summer months) if air temperature (measured 2 cm above the till surface) decreases by 5.5 degrees C (from -70 degrees C to -12 degrees C); or average relative humidity increases by 22% (from similar to 36% to 58%); or infiltration of minor snowmelt equals similar to 0.002 min day(-1). Our model results are consistent with the potential for long-term survival of buried glacier ice in the hyper-arid stable upland zone of the western Dry Valleys.</t>
  </si>
  <si>
    <t>Boston Univ, Dept Earth Sci, Boston, MA 02215 USA; Brown Univ, Dept Geol Sci, Providence, RI 02912 USA</t>
  </si>
  <si>
    <t>Boston University; Brown University</t>
  </si>
  <si>
    <t>Kowalewski, DE (corresponding author), Boston Univ, Dept Earth Sci, 685 Commonwealth Ave, Boston, MA 02215 USA.</t>
  </si>
  <si>
    <t>dkowal@bu.edu</t>
  </si>
  <si>
    <t>Kowalewski, Douglas/0000-0002-7847-026X; Levy, Joseph/0000-0002-6222-139X</t>
  </si>
  <si>
    <t>10.1017/S0954102006000460</t>
  </si>
  <si>
    <t>WOS:000240606500014</t>
  </si>
  <si>
    <t>Woodworth, PL; Hughes, CW; Blackman, DL; Stepanov, VN; Holgate, SJ; Foden, PR; Pugh, JP; Mack, S; Hargreaves, GW; Meredith, MP; Milinevsky, G; Contreras, JJF</t>
  </si>
  <si>
    <t>Woodworth, P. L.; Hughes, C. W.; Blackman, D. L.; Stepanov, V. N.; Holgate, S. J.; Foden, P. R.; Pugh, J. P.; Mack, S.; Hargreaves, G. W.; Meredith, M. P.; Milinevsky, Gl; Contreras, J. J. Fierro</t>
  </si>
  <si>
    <t>Antarctic Peninsula sea levels: a real-time system for monitoring Drake Passage transport</t>
  </si>
  <si>
    <t>bottom pressure recorders; International Polar Year; ocean circulation variability; Southern Annular Mode; tide gauges</t>
  </si>
  <si>
    <t>DEEP-OCEAN; CIRCULATION; VARIABILITY; MODEL</t>
  </si>
  <si>
    <t>Sub-surface pressure (SSP) data from tide gauges at three bases on the Pacific coast of the Antarctic Peninsula, together with SSP information from a bottom pressure recorder deployed on the south side of the Drake Passage, have been used to study the relationships between SSP, Drake Passage transport, and the strength of Southern Ocean zonal winds as represented by the Southern Annular Mode. High correlations were obtained between all parameters, confirming results obtained previously with independent data sets, and demonstrating the value of information from the permanent Rothera base, the southern-most site considered. These are important findings with regard to the design, installation and maintenance of observation networks in Antarctica. In particular, they provide the necessary justification for Antarctic Peninsula tide gauge infrastructure investment in the lead up to International Polar Year. Data delivery from Rothera and Vernadsky is currently being improved and should soon enable the first near real-time system for monitoring Drake Passage transport variability on intraseasonal timescales, an essential component of a Southern Ocean Observing System.</t>
  </si>
  <si>
    <t>Proudman Oceanog Lab, Liverpool L3 5DA, Merseyside, England; British Antarctic Survey, NERC, Cambridge CB3 0ET, England; Natl Antarctic Sci Ctr Ukraine, UA-01601 Kiev, Ukraine; Serv Hidrog &amp; Oceanog, Playa Ancha City, Valparaiso, Chile</t>
  </si>
  <si>
    <t>NERC National Oceanography Centre; UK Research &amp; Innovation (UKRI); Natural Environment Research Council (NERC); NERC British Antarctic Survey; Ministry of Education &amp; Science of Ukraine; State Institution National Antarctic Scientific Center</t>
  </si>
  <si>
    <t>Holgate, Simon/A-5327-2009; Milinevsky, Gennadi/AAD-8801-2019; Stepanov, Vladimir/P-8371-2019; Hughes, Chris W/A-3791-2010; Hughes, Chris/GQP-7479-2022</t>
  </si>
  <si>
    <t>Milinevsky, Gennadi/0000-0002-2342-2615; Stepanov, Vladimir/0000-0002-0560-9312; Hughes, Chris W/0000-0002-9355-0233; Meredith, Michael/0000-0002-7342-7756; Woodworth, Philip/0000-0002-6681-239X</t>
  </si>
  <si>
    <t>10.1017/S0954102006000472</t>
  </si>
  <si>
    <t>WOS:000240606500015</t>
  </si>
  <si>
    <t>Sadibekova, T; Fossat, E; Genthon, C; Krinner, G; Aristidi, E; Agabi, K; Azouit, M</t>
  </si>
  <si>
    <t>Sadibekova, T.; Fossat, E.; Genthon, C.; Krinner, Gl; Aristidi, E.; Agabi, K.; Azouit, M.</t>
  </si>
  <si>
    <t>On the atmosphere for astronomers above Dome C, Antarctica</t>
  </si>
  <si>
    <t>antarctic plateau; ECMWF analyses; optical turbulence; radio-soundings; site testing; temperature gradient; wind gradient</t>
  </si>
  <si>
    <t>INFRARED SKY BRIGHTNESS; SURFACE-LAYER; SOUTH-POLE</t>
  </si>
  <si>
    <t>This paper describes a comparison between balloon radio-soundings made in summer at the Concordia station, Dome C, Antarctica and coincident model-based meteorological analyses. The comparison allows the assessment of the reliability of the analyses in summer. This allows the use of the winter analyses within an estimated range of uncertainty, while the first in situ measurements are just becoming available. The astronomical interest is to produce an estimate of atmospheric turbulence during the Antarctic winter at this very promising site. For this work the 6-hourly ECMWF operational analyses were used, concurrently with the data obtained in situ by the radio-sounding made at Concordia with standard meteorological balloons and sondes during four summer seasons (November-January), from December 2000 to the end of January 2004.</t>
  </si>
  <si>
    <t>Univ Nice, Lab Univ Astrophys Nice, UMR 6525, F-06108 Nice, France; Univ Grenoble 1, Lab Glaciol &amp; Geophys Environm, F-38402 St Martin Dheres, France; CNRS, Lab Glaciol &amp; Geophys Environm, F-38402 St Martin Dheres, France; European So Observ, D-85748 Garching, Germany</t>
  </si>
  <si>
    <t>Universite Cote d'Azur; Observatoire de la Cote d'Azur; Communaute Universite Grenoble Alpes; Universite Grenoble Alpes (UGA); Centre National de la Recherche Scientifique (CNRS); European Southern Observatory</t>
  </si>
  <si>
    <t>Sadibekova, T (corresponding author), Univ Nice, Lab Univ Astrophys Nice, UMR 6525, Parc Valrose, F-06108 Nice, France.</t>
  </si>
  <si>
    <t>sadibeko@unice.fr</t>
  </si>
  <si>
    <t>Krinner, Gerhard/AAB-8837-2022; Krinner, Gerhard/A-6450-2011; Sadibekova, Tatyana/ABI-6414-2020</t>
  </si>
  <si>
    <t>Krinner, Gerhard/0000-0002-2959-5920; Sadibekova, Tatyana/0000-0002-5162-4222; Aristidi, Eric/0000-0001-9886-7670</t>
  </si>
  <si>
    <t>10.1017/S0954102006000484</t>
  </si>
  <si>
    <t>WOS:000240606500016</t>
  </si>
  <si>
    <t>Gasparon, M; Matschullat, J</t>
  </si>
  <si>
    <t>Gasparon, Massimo; Matschullat, Joerg</t>
  </si>
  <si>
    <t>Trace metals in Antarctic ecosystems: Results from the Larsemann Hills, East Antarctica</t>
  </si>
  <si>
    <t>APPLIED GEOCHEMISTRY</t>
  </si>
  <si>
    <t>PRINCESS-ELIZABETH-LAND; FRESH-WATER LAKES; SPECIATION; IMPACTS</t>
  </si>
  <si>
    <t>Sediments, mosses and algae, collected from lake catchments of the Larsemann Hills, East Antarctica, were analysed to establish baseline levels of trace metals (Ag, As, Cd, Co, Cr, Cu, Ni, Sb, Pb, Se, V and Zn), and to quantify the extent of trace metal pollution in the area. Both impacted and non-impacted sites were included in the study. Four different leaching solutions (1 M MgCl2, 1 M CH3COONH4, 1 M NH4NO3, and 0.3 N HCl) were tested on the fine fraction (&lt; 63 mu m) of the sediments to extract the mobile fraction of trace metals derived from human impact and from weathering of basement lithologies. Results of these tests indicate that dilute HCl partly dissolves primary minerals present in the sediment, thus leading to an overestimate of the mobile trace metal fraction. Concentrations of trace metals released using the other 3 procedures indicate negligible levels of anthropogenic contribution to the trace metal budget. Data derived from this study and a thorough characterisation of the site allowed the authors to define natural baseline levels of trace metals in sediments, mosses and algae, and their spatial variability across the area. The results show that, with a few notable exceptions, human activities at the research stations have contributed negligible levels (lower than natural variability) of trace metals to the Larsemann Hills ecosystem. This study further demonstrates that anthropogenic sources of trace metals can be correctly identified and quantified only if natural baselines, their variability, and processes controlling the mobility of trace metals in the ecosystem, have been fully characterised. (c) 2006 Elsevier Ltd. All rights reserved.</t>
  </si>
  <si>
    <t>Univ Queensland, St Lucia, Qld 4072, Australia; TU Bergakad Freiberg, Interdisciplinary Environm Res Ctr, D-09599 Freiberg, Germany</t>
  </si>
  <si>
    <t>University of Queensland; Technical University Freiberg</t>
  </si>
  <si>
    <t>Gasparon, M (corresponding author), Univ Queensland, St Lucia, Qld 4072, Australia.</t>
  </si>
  <si>
    <t>massimo@earth.uq.edu.au</t>
  </si>
  <si>
    <t>Matschullat, Jörg/HKV-6370-2023; Matschullat, Jörg/AAW-1655-2021</t>
  </si>
  <si>
    <t>0883-2927</t>
  </si>
  <si>
    <t>APPL GEOCHEM</t>
  </si>
  <si>
    <t>Appl. Geochem.</t>
  </si>
  <si>
    <t>10.1016/j.apgeochem.2006.05.007</t>
  </si>
  <si>
    <t>092KV</t>
  </si>
  <si>
    <t>WOS:000241096400009</t>
  </si>
  <si>
    <t>Achterberg, A; Ackermann, M; Adams, J; Ahrens, J; Andeen, K; Atlee, DW; Bahcall, JN; Bai, X; Baret, B; Bartelt, M; Barwick, SW; Bay, R; Beattie, K; Becka, T; Becker, JK; Becker, KH; Berghaus, P; Berley, D; Bernardini, E; Bertrand, D; Besson, DZ; Blaufuss, E; Boersma, DJ; Bohm, C; Böser, S; Botner, O; Bouchta, A; Bouhali, O; Braun, J; Burgess, C; Burgess, T; Castermans, T; Chirkin, D; Clem, J; Conrad, J; Cooley, J; Cowen, DF; D'Agostino, MV; Davour, A; Day, CT; De Clercq, C; Desiati, P; DeYoung, T; Diaz-Velez, JC; Dreyer, J; Duvoort, MR; Edwards, WR; Ehrlich, R; Ekström, P; Ellsworth, RW; Evenson, PA; Fadiran, O; Fazely, AR; Feser, T; Filimonov, K; Gaisser, TK; Gallagher, J; Ganugapati, R; Geenen, H; Gerhardt, L; Goldschmidt, A; Goodman, JA; Gozzini, R; Greene, MG; Grullon, S; Gross, A; Gunasingha, RM; Gurtner, M; Hallgren, A; Halzen, F; Han, K; Hanson, K; Hardtke, D; Hardtke, R; Harenberg, T; Hart, JE; Hauschildt, T; Hays, D; Heise, J; Helbing, K; Hellwig, M; Herquet, P; Hill, GC; Hodges, J; Hoffman, KD; Hoshina, K; Hubert, D; Hughey, B; Hulth, PO; Hultqvist, K; Hundertmark, S; Hülss, JP; Ishihara, A; Jacobsen, J; Japaridze, GS; Jones, A; Joseph, JM; Kampert, KH; Karle, A; Kawal, H; Kelley, JL; Kestel, M; Klein, SR; Klepser, S; Kohnen, G; Kolanoski, H; Köpke, L; Krasberg, M; Kuehn, K; Landsman, H; Leich, H; Leuthold, M; Liubarsky, I; Lundberg, J; Madsen, J; Marciniewski, P; Mase, K; Matis, HS; McCauley, T; McParland, CP; Meli, A; Messarius, T; Mészáros, P; Minaeva, Y; Miocinovic, P; Miyamoto, H; Mokhtarani, A; Montaruli, T; Morey, A; Morse, R; Movit, SM; Münich, K; Nahnhauer, R; Nam, J; Neunhöffer, T; Niessen, P; Nygren, DR; Ögelman, H; Olbrechts, P; Olivas, A; Patton, S; Peña-Garay, C; de los Heros, CP; Plegsa, A; Pieloth, D; Pohl, AC; Porrata, R; Pretz, J; Price, PB; Przybylski, GT; Rawlins, K; Razzaque, S; Refflinghaus, F; Resconi, E; Rhode, W; Ribordy, M; Rizzo, A; Robbins, S; Martino, JR; Rott, C; Rutledge, D; Sander, HG; Schlenstedt, S; Schneider, D; Schwarz, R; Seckel, D; Seo, SH; Seunarine, S; Silvestri, A; Smith, AJ; Solarz, M; Song, C; Sopher, JE; Spiczak, GM; Spiering, C; Stamatikos, M; Stanev, T; Steffen, P; Stezelberger, T; Stokstad, RG; Stoufer, MC; Stoyanov, S; Strahler, EA; Sulanke, KH; Sullivan, GW; Sumner, TJ; Taboada, I; Tarasova, O; Tepe, A; Thollander, L; Tilav, S; Toale, PA; Turcan, D; van Eijndhoven, N; Vandenbroucke, J; Voigt, B; Wagner, W; Walck, C; Waldmann, H; Walter, M; Wang, YR; Wendt, C; Wiebusch, CH; Wikström, G; Williams, DR; Wischnewski, R; Wissing, H; Woschnagg, K; Xu, XW; Yodh, G; Yoshida, S; Zornoza, JD</t>
  </si>
  <si>
    <t>Achterberg, A.; Ackermann, M.; Adams, J.; Ahrens, J.; Andeen, K.; Atlee, D. W.; Bahcall, J. N.; Bai, X.; Baret, B.; Bartelt, M.; Barwick, S. W.; Bay, R.; Beattie, K.; Becka, T.; Becker, J. K.; Becker, K. -H.; Berghaus, P.; Berley, D.; Bernardini, E.; Bertrand, D.; Besson, D. Z.; Blaufuss, E.; Boersma, D. J.; Bohm, C.; Boser, S.; Botner, O.; Bouchta, A.; Bouhali, O.; Braun, J.; Burgess, C.; Burgess, T.; Castermans, T.; Chirkin, D.; Clem, J.; Conrad, J.; Cooley, J.; Cowen, D. F.; D'Agostino, M. V.; Davour, A.; Day, C. T.; De Clercq, C.; Desiati, P.; DeYoung, T.; Diaz-Velez, J. C.; Dreyer, J.; Duvoort, M. R.; Edwards, W. R.; Ehrlich, R.; Ekstrom, P.; Ellsworth, R. W.; Evenson, P. A.; Fadiran, O.; Fazely, A. R.; Feser, T.; Filimonov, K.; Gaisser, T. K.; Gallagher, J.; Ganugapati, R.; Geenen, H.; Gerhardt, L.; Goldschmidt, A.; Goodman, J. A.; Gozzini, R.; Greene, M. G.; Grullon, S.; Gross, A.; Gunasingha, R. M.; Gurtner, M.; Hallgren, A.; Halzen, F.; Han, K.; Hanson, K.; Hardtke, D.; Hardtke, R.; Harenberg, T.; Hart, J. E.; Hauschildt, T.; Hays, D.; Heise, J.; Helbing, K.; Hellwig, M.; Herquet, P.; Hill, G. C.; Hodges, J.; Hoffman, K. D.; Hoshina, K.; Hubert, D.; Hughey, B.; Hulth, P. O.; Hultqvist, K.; Hundertmark, S.; Huelss, J.-P.; Ishihara, A.; Jacobsen, J.; Japaridze, G. S.; Jones, A.; Joseph, J. M.; Kampert, K. -H.; Karle, A.; Kawal, H.; Kelley, J. L.; Kestel, M.; Klein, S. R.; Klepser, S.; Kohnen, G.; Kolanoski, H.; Koepke, L.; Krasberg, M.; Kuehn, K.; Landsman, H.; Leich, H.; Leuthold, M.; Liubarsky, I.; Lundberg, J.; Madsen, J.; Marciniewski, P.; Mase, K.; Matis, H. S.; McCauley, T.; McParland, C. P.; Meli, A.; Messarius, T.; Meszaros, P.; Minaeva, Y.; Miocinovic, P.; Miyamoto, H.; Mokhtarani, A.; Montaruli, T.; Morey, A.; Morse, R.; Movit, S. M.; Muenich, K.; Nahnhauer, R.; Nam, Jw.; Neunhoeffer, T.; Niessen, P.; Nygren, D. R.; Ogelman, H.; Olbrechts, Ph.; Olivas, A.; Patton, S.; Pena-Garay, C.; de los Heros, C. Perez; Plegsa, A.; Pieloth, D.; Pohl, A. C.; Porrata, R.; Pretz, J.; Price, P. B.; Przybylski, G. T.; Rawlins, K.; Razzaque, S.; Refflinghaus, F.; Resconi, E.; Rhode, W.; Ribordy, M.; Rizzo, A.; Robbins, S.; Rodriguez Martino, J.; Rott, C.; Rutledge, D.; Sander, H. -G.; Schlenstedt, S.; Schneider, D.; Schwarz, R.; Seckel, D.; Seo, S. H.; Seunarine, S.; Silvestri, A.; Smith, A. J.; Solarz, M.; Song, C.; Sopher, J. E.; Spiczak, G. M.; Spiering, C.; Stamatikos, M.; Stanev, T.; Steffen, P.; Stezelberger, T.; Stokstad, R. G.; Stoufer, M. C.; Stoyanov, S.; Strahler, E. A.; Sulanke, K. -H.; Sullivan, G. W.; Sumner, T. J.; Taboada, I.; Tarasova, O.; Tepe, A.; Thollander, L.; Tilav, S.; Toale, P. A.; Turcan, D.; van Eijndhoven, N.; Vandenbroucke, J.; Voigt, B.; Wagner, W.; Walck, C.; Waldmann, H.; Walter, M.; Wang, Y. -R.; Wendt, C.; Wiebusch, C. H.; Wikstrom, G.; Williams, D. R.; Wischnewski, R.; Wissing, H.; Woschnagg, K.; Xu, X. W.; Yodh, G.; Yoshida, S.; Zornoza, J. D.</t>
  </si>
  <si>
    <t>Limits on the muon flux from neutralino annihilations at the center of the Earth with AMANDA</t>
  </si>
  <si>
    <t>ASTROPARTICLE PHYSICS</t>
  </si>
  <si>
    <t>dark matter; neutrino telescopes; AMANDA; IceCube; neutralino</t>
  </si>
  <si>
    <t>SYSTEMATIC UNCERTAINTIES; NEUTRINO; SELECTION</t>
  </si>
  <si>
    <t>A search has been performed for nearly vertically upgoing neutrino-induced muons with the Antarctic Muon And Neutrino Detector Array (AMANDA), using data taken over the three year period 1997-99. No excess above the expected atmospheric neutrino background has been found. Upper limits at 90% confidence level have been set on the annihilation rate of neutralinos at the center of the Earth, as well as on the muon flux at AMANDA induced by neutrinos created by the annihilation products. (c) 2006 Elsevier B.V. All rights reserved.</t>
  </si>
  <si>
    <t>Univ Stockholm, Dept Phys, SE-10691 Stockholm, Sweden; Clark Atlanta Univ, CTSPS, Atlanta, GA 30314 USA; So Univ, Dept Phys, Baton Rouge, LA 70813 USA; Univ Calif Berkeley, Dept Phys, Berkeley, CA 94720 USA; Lawrence Berkeley Lab, Berkeley, CA 94720 USA; Univ Libre Bruxelles, Fac Sci, B-1050 Brussels, Belgium; Vrije Univ Brussel, ELEM, B-1050 Brussels, Belgium; Chiba Univ, Dept Phys, Chiba 2638522, Japan; Univ Canterbury, Dept Phys &amp; Astron, Christchurch 1, New Zealand; Univ Maryland, Dept Phys, College Pk, MD 20742 USA; Univ Dortmund, Dept Phys, D-44221 Dortmund, Germany; Univ Calif Irvine, Dept Phys &amp; Astron, Irvine, CA 92697 USA; Univ Kansas, Dept Phys &amp; Astron, Lawrence, KS 66045 USA; Univ London Imperial Coll Sci Technol &amp; Med, Blackett Lab, London SW7 2BW, England; Univ Wisconsin, Dept Astron, Madison, WI 53706 USA; Univ Wisconsin, Dept Phys, Madison, WI 53706 USA; Johannes Gutenberg Univ Mainz, Inst Phys, D-55099 Mainz, Germany; Univ Mons, B-7000 Mons, Belgium; Univ Delaware, Bartol Res Inst, Newark, DE 19716 USA; Inst Adv Study, Princeton, NJ 08540 USA; Univ Wisconsin, Dept Phys, River Falls, WI 54022 USA; Stockholm Univ, Dept Phys, SE-10691 Stockholm, Sweden; Penn State Univ, Dept Astron &amp; Astrophys, University Pk, PA 16802 USA; Penn State Univ, Dept Phys, University Pk, PA 16802 USA; Uppsala Univ, Div High Energy Phys, S-75121 Uppsala, Sweden; Univ Utrecht, Dept Phys &amp; Astron, NL-3584 CC Utrecht, Netherlands; Univ Gesamthsch Wuppertal, Dept Phys, D-42119 Wuppertal, Germany; DESY, D-15735 Zeuthen, Germany</t>
  </si>
  <si>
    <t>Stockholm University; Clark Atlanta University; Southern University System; Southern University &amp; A&amp;M College; University of California System; University of California Berkeley; United States Department of Energy (DOE); Lawrence Berkeley National Laboratory; Universite Libre de Bruxelles; Vrije Universiteit Brussel; Chiba University; University of Canterbury; University System of Maryland; University of Maryland College Park; Dortmund University of Technology; University of California System; University of California Irvine; University of Kansas; Imperial College London; University of Wisconsin System; University of Wisconsin Madison; University of Wisconsin System; University of Wisconsin Madison; Johannes Gutenberg University of Mainz; University of Mons; University of Delaware; Institute for Advanced Study - USA; University of Wisconsin System; Stockholm University; Pennsylvania Commonwealth System of Higher Education (PCSHE); Pennsylvania State University; Pennsylvania State University - University Park; Pennsylvania Commonwealth System of Higher Education (PCSHE); Pennsylvania State University; Pennsylvania State University - University Park; Uppsala University; Utrecht University; University of Wuppertal; Helmholtz Association; Deutsches Elektronen-Synchrotron (DESY)</t>
  </si>
  <si>
    <t>Walck, C (corresponding author), Univ Stockholm, Dept Phys, Vanadisvagen 9, SE-10691 Stockholm, Sweden.</t>
  </si>
  <si>
    <t>walck@physto.se</t>
  </si>
  <si>
    <t>Venkateswararao, Gollakaram/B-5490-2015; Song, Chihwa/A-3455-2008; Díaz Vélez, Juan Carlos/T-2788-2018; Goodman, Jordan A/J-4188-2018; Hubert, Daan/I-1096-2019; Naidu, Rajagopal/K-3038-2016; Hallgren, Allan/A-8963-2013; Seo, Seon-Hee/M-1189-2019; Bernardini, Elisa/AAA-4810-2020; Bouhali, Othmane/JXM-3572-2024; de Dios Zornoza, Juan/L-1604-2014; Botner, Olga/A-9110-2013; Wiebusch, Christopher H.V./G-6490-2012; Rott, Carsten/ABB-1304-2021; Matis, Howard/AAO-2082-2021; Hundertmark, Stephan/A-6592-2010; Díaz Vélez, Juan Carlos/AAD-5211-2022; Williams, David/HKN-3732-2023; Seo, Seon Hee/K-9250-2014; Tjus, Julia/G-8145-2012; Matis, Howard S/HMV-9747-2023; DeYoung, Tyce/O-6895-2019; Resconi, Elisa/I-3874-2016; Pena Garay, Carlos/H-5769-2018</t>
  </si>
  <si>
    <t>Venkateswararao, Gollakaram/0000-0002-0327-7764; Díaz Vélez, Juan Carlos/0000-0002-0087-0693; Hubert, Daan/0000-0002-4365-865X; Seo, Seon-Hee/0000-0002-1496-624X; Bernardini, Elisa/0000-0003-3108-1141; Bouhali, Othmane/0000-0001-7139-7322; de Dios Zornoza, Juan/0000-0002-1834-0690; Wiebusch, Christopher H.V./0000-0002-6418-3008; Rott, Carsten/0000-0002-6958-6033; Díaz Vélez, Juan Carlos/0000-0002-0087-0693; Tjus, Julia/0000-0002-1748-7367; Matis, Howard S/0000-0003-0764-4389; DeYoung, Tyce/0000-0003-4873-3783; Resconi, Elisa/0000-0003-0705-2770; Ackermann, Markus/0000-0001-8952-588X; Hill, Gary/0000-0001-8881-6802; Desiati, Paolo/0000-0001-9768-1858; Meszaros, Peter/0000-0002-4132-1746; Andeen, Karen/0000-0001-9394-0007; Kampert, Karl-Heinz/0000-0002-2805-0195; Spiczak, Glenn/0000-0002-0030-0519; Helbing, Klaus/0000-0003-2072-4172; Perez de los Heros, Carlos/0000-0002-2084-5866; Taboada, Ignacio/0000-0003-3509-3457; Beattie, Keith/0000-0001-5026-2023; Seunarine, Suruj/0000-0003-3272-6896; Atlee, David/0000-0002-7564-4121; Yoshida, Shigeru/0000-0003-2480-5105; Klein, Spencer/0000-0003-2841-6553; Sumner, Timothy/0000-0002-3572-600X; Bartelt, Matthias/0000-0003-4239-3490; Kolanoski, Hermann/0000-0003-0435-2524; De Clercq, Catherine/0000-0001-5266-7059; McCauley, Thomas/0000-0001-6589-8286; Burgess, Thomas/0000-0002-6993-5918; Cooley, Jodi/0000-0001-6761-2042; Razzaque, Soebur/0000-0002-0130-2460; Rhode, Wolfgang/0000-0003-2636-5000; Montaruli, Teresa/0000-0001-5014-2152; Pena Garay, Carlos/0000-0003-1282-2944</t>
  </si>
  <si>
    <t>0927-6505</t>
  </si>
  <si>
    <t>1873-2852</t>
  </si>
  <si>
    <t>ASTROPART PHYS</t>
  </si>
  <si>
    <t>Astropart Phys.</t>
  </si>
  <si>
    <t>10.1016/j.astropartphys.2006.05.007</t>
  </si>
  <si>
    <t>093BI</t>
  </si>
  <si>
    <t>WOS:000241141800006</t>
  </si>
  <si>
    <t>Mcgeoch, MA; Le Roux, PC; Hugo, EA; Chown, SL</t>
  </si>
  <si>
    <t>Mcgeoch, Melodie A.; Le Roux, Peter C.; Hugo, Elizabeth A.; Chown, Steven L.</t>
  </si>
  <si>
    <t>Species and community responses to short-term climate manipulation: Microarthropods in the sub-Antarctic</t>
  </si>
  <si>
    <t>AUSTRAL ECOLOGY</t>
  </si>
  <si>
    <t>climate change; cloche; Cryptopygus antarcticus; fellfield; soil fauna</t>
  </si>
  <si>
    <t>AZORELLA-SELAGO; ENVIRONMENTAL-CHANGE; SOIL ARTHROPODS; MARION ISLAND; TEMPERATURE; SHIFTS; PLANT; WATER; INVERTEBRATES; AVAILABILITY</t>
  </si>
  <si>
    <t>Both species and community-level investigations are important for understanding the biotic impacts of climate change, because current evidence suggests that individual species responses are idiosyncratic. However, few studies of climate change impacts have been conducted on entire terrestrial arthropod communities living in the same habitat in the southern Hemisphere, and the effects of precipitation changes on them are particularly poorly understood. Here we investigate the species- and community-level responses of microarthropods inhabiting a keystone plant species, on sub-Antarctic Marion Island, to experimental reduction in precipitation, warming and shading. These climate manipulations were chosen based on observed climate trends and, predicted indirect climate change impacts on this system. The dry-warm and shade inducing treatments that were imposed effected significant species- and community-level responses after a single year. Although the strongest community-level trends included a dramatic decline in springtail abundance and total biomass under the dry-warm and shade treatments, species responses were generally individualistic, that is, springtails responded differently to mites, and particular mite and springtail species responded differently to each other. Our results therefore provide additional support for the dynamic rather than static model for community responses to climate change, in the first such experiment in the sub-Antarctic. In conclusion, these results show that an ongoing decline in precipitation and increase in temperature is likely to have dramatic direct and indirect effects on this microarthropod community. Moreover, they indicate that while at a broad scale it may be possible to make generalizations regarding species responses to climate change, these generalizations are unlikely to translate into predictable effects at the community level.</t>
  </si>
  <si>
    <t>Univ Stellenbosch, Dept Entomol, ZA-7602 Matieland, South Africa; Univ Stellenbosch, Dept Conservat Ecol, ZA-7602 Matieland, South Africa; Univ Stellenbosch, Ctr Invas Biol, Dept Bot &amp; Zool, ZA-7602 Matieland, South Africa</t>
  </si>
  <si>
    <t>Mcgeoch, MA (corresponding author), Univ Stellenbosch, Dept Entomol, Private Bag X1, ZA-7602 Matieland, South Africa.</t>
  </si>
  <si>
    <t>Chown, Steven/ABD-7646-2021; le Roux, Peter Christiaan/E-7784-2011; McGeoch, Melodie/F-8353-2011; Chown, Steven/H-3347-2011</t>
  </si>
  <si>
    <t>le Roux, Peter Christiaan/0000-0002-7941-7444; McGeoch, Melodie/0000-0003-3388-2241; Chown, Steven/0000-0001-6069-5105</t>
  </si>
  <si>
    <t>1442-9985</t>
  </si>
  <si>
    <t>1442-9993</t>
  </si>
  <si>
    <t>AUSTRAL ECOL</t>
  </si>
  <si>
    <t>Austral Ecol.</t>
  </si>
  <si>
    <t>10.1111/j.1442-9993.2006.01614.x</t>
  </si>
  <si>
    <t>084VO</t>
  </si>
  <si>
    <t>WOS:000240562700005</t>
  </si>
  <si>
    <t>Haward, M; Rothwell, DR; Jabour, J; Hall, R; Kellow, A; Kriwoken, L; Lugten, G; Hemmings, A</t>
  </si>
  <si>
    <t>Haward, Marcus; Rothwell, Donald R.; Jabour, Julia; Hall, Robert; Kellow, Aynsley; Kriwoken, Lorne; Lugten, Gail; Hemmings, Alan</t>
  </si>
  <si>
    <t>Australia's Antarctic agenda</t>
  </si>
  <si>
    <t>AUSTRALIAN JOURNAL OF INTERNATIONAL AFFAIRS</t>
  </si>
  <si>
    <t>CONTINENTAL-SHELF; BOUNDARIES; SEA</t>
  </si>
  <si>
    <t>Australia has had a long connection with, and significant national interests in, the Southern Ocean and Antarctica. The Australian Antarctic Territory comprises 42 per cent of Antarctica's landmass. Australia is not only a claimant state and original signatory to the Antarctic Treaty but has played a significant role in the development of what is termed the Antarctic Treaty System (ATS). This article aims to provide an overview of Australia's key policy interests and government policy goals towards Antarctica, including its commitment to the ATS. In examining key policy objectives we note that despite continuity and development of these objectives, significant changes and challenges have arisen in the period 1984-2006. It is these challenges that will help frame Australia's Antarctic agenda over the next 20 years and beyond.</t>
  </si>
  <si>
    <t>Univ Tasmania, Sch Govt, Antarctic Climate &amp; Ecosyst Cooperat Res Ctr, Hobart, Tas 7001, Australia; Univ Sydney, Sydney Ctr Int &amp; Global Law, Fac Law, Sydney, NSW 2006, Australia; Univ Tasmania, Inst Antarctic &amp; So Ocean Studies, Hobart, Tas 7001, Australia; Univ Tasmania, Sch Geog &amp; Environm Studies, Hobart, Tas 7001, Australia; Univ Tasmania, Fac Law, Hobart, Tas 7001, Australia</t>
  </si>
  <si>
    <t>Antarctic Climate &amp; Ecosystems Cooperative Research Centre (ACE CRC); University of Tasmania; University of Sydney; University of Tasmania; University of Tasmania; University of Tasmania</t>
  </si>
  <si>
    <t>Haward, M (corresponding author), Univ Tasmania, Sch Govt, Antarctic Climate &amp; Ecosyst Cooperat Res Ctr, Hobart, Tas 7001, Australia.</t>
  </si>
  <si>
    <t>Rothwell, Donald R/V-1403-2018; Jabour, Julia A/J-7882-2014; Haward, Marcus/G-3369-2014</t>
  </si>
  <si>
    <t>Lugten, Gail/0000-0002-7650-7305; Haward, Marcus/0000-0003-4775-0864</t>
  </si>
  <si>
    <t>1035-7718</t>
  </si>
  <si>
    <t>AUST J INT AFF</t>
  </si>
  <si>
    <t>Aust. J. Int. Aff.</t>
  </si>
  <si>
    <t>10.1080/10357710600865705</t>
  </si>
  <si>
    <t>International Relations</t>
  </si>
  <si>
    <t>091UM</t>
  </si>
  <si>
    <t>WOS:000241053800009</t>
  </si>
  <si>
    <t>The limits of endurance exercise</t>
  </si>
  <si>
    <t>BASIC RESEARCH IN CARDIOLOGY</t>
  </si>
  <si>
    <t>humans; energy expenditure; polar exploration; cycling; running; psychology; mind</t>
  </si>
  <si>
    <t>SKELETAL-MUSCLE RECRUITMENT; PROLONGED EXERCISE; ENERGY-BALANCE; PERFORMANCE; HUMANS; HEAT; EXPEDITION; TURNOVER; FATIGUE; RECORDS</t>
  </si>
  <si>
    <t>A skeletal design which favours running and walking, including the greatest ratio of leg length to body weight of any mammal; the ability to sweat and so to exercise vigorously in the heat; and greater endurance than all land mammals other than the Alaskan Husky, indicates that humans evolved as endurance animals. The development of tools to accurately measure time and distance in the nineteenth century inspired some humans to define the limits of this special capacity. Beginning with Six-Day Professional Pedestrian Races in London and New York in the 1880s, followed a decade later by Six-Day Professional Cycling Races - the immediate precursor of the first six-day Tour de France Cycliste race in 1903, which itself inspired the 1928 and 1929 4,960 km Bunion Derbies between Los Angeles and New York across the breadth of the United States of America - established those unique sporting events that continue to challenge the modern limits of human endurance. But an analysis of the total energy expenditure achieved by athletes competing in those events establishes that none approaches those reached by another group - the explorers of the heroic age of polar exploration in the early twentieth century. Thus the greatest recorded human endurance performances occurred during the Antarctic sledding expeditions led by Robert Scott in 1911/12 and Ernest Shackleton in 1914/16. By man-hauling sleds for 10 hours daily for approximately 159 and 160 consecutive days respectively, members of those expeditions would have expended close to a total of 1,000,000 kcal. By comparison completing a Six-Day Pedestrian event (55,000 kcal) or the Tour de France (168,000 kcal), or cycling (180,000 kcal) or running (340,000 kcal) across America, requires a considerably smaller total energy expenditure. Thus the limits of human endurance were set at the start of the twentieth century and have not recently been approached. Given good health and an adequate food supply to prevent starvation and scurvy, these limits are set by the mind, not by the body. For it is the mind that determines who chooses to start and who best stays the distance.</t>
  </si>
  <si>
    <t>Sports Sci Inst S Africa, Dept Human Biol, ZA-7925 Newlands, South Africa</t>
  </si>
  <si>
    <t>Noakes, TD (corresponding author), Sports Sci Inst S Africa, Dept Human Biol, Boundary Rd, ZA-7925 Newlands, South Africa.</t>
  </si>
  <si>
    <t>tdnoakes@sports.uct.ac.za</t>
  </si>
  <si>
    <t>Noakes, Tim/AAD-3162-2020; Noakes, Timothy D./E-7253-2011</t>
  </si>
  <si>
    <t>Noakes, Tim/0000-0001-7244-2375; Noakes, Timothy D./0000-0001-7244-2375</t>
  </si>
  <si>
    <t>DR DIETRICH STEINKOPFF VERLAG</t>
  </si>
  <si>
    <t>DARMSTADT</t>
  </si>
  <si>
    <t>PO BOX 10 04 62, D-64204 DARMSTADT, GERMANY</t>
  </si>
  <si>
    <t>0300-8428</t>
  </si>
  <si>
    <t>BASIC RES CARDIOL</t>
  </si>
  <si>
    <t>Basic Res. Cardiol.</t>
  </si>
  <si>
    <t>10.1007/s00395-006-0607-2</t>
  </si>
  <si>
    <t>Cardiac &amp; Cardiovascular Systems</t>
  </si>
  <si>
    <t>Cardiovascular System &amp; Cardiology</t>
  </si>
  <si>
    <t>077VT</t>
  </si>
  <si>
    <t>WOS:000240060100007</t>
  </si>
  <si>
    <t>Anderson, CB; Rozzi, R; Torres-Mura, JC; McGehee, SM; Sherriffs, MF; Schuettler, E; Rosemond, AD</t>
  </si>
  <si>
    <t>Anderson, Christopher B.; Rozzi, Ricardo; Torres-Mura, Juan C.; McGehee, Steven M.; Sherriffs, Margaret F.; Schuettler, Elke; Rosemond, Amy D.</t>
  </si>
  <si>
    <t>Exotic vertebrate fauna in the remote and pristine sub-antarctic Cape Horn Archipelago, Chile</t>
  </si>
  <si>
    <t>BIODIVERSITY AND CONSERVATION</t>
  </si>
  <si>
    <t>Cape Horn; Chile; exotic species; global change; invasive; Sub-Antarctic Forests; Tierra del Fuego; wilderness</t>
  </si>
  <si>
    <t>INVADERS; IMPACT</t>
  </si>
  <si>
    <t>Pristine wilderness is a scarce global resource, but exotic species are so common that they constitute a principal component of worldwide ecological change. The relationship between these two topics, invasion and remoteness, was the impetus behind five years of fieldwork aimed at identifying the assemblage and range of exotic vertebrates in Cape Horn, Chile, identified as one of the world's most pristine wilderness areas. While the archipelago has extremely low human population density and vast tracts of undisturbed land, we discovered that several terrestrial vertebrate groups were dominated by exotic species. Native birds were diverse (approx. 154 spp), and only 1.3% (or two spp.) were introduced. In contrast, exotic terrestrial mammals (12 spp.) and freshwater fish (three spp.) outnumbered their native counterparts, constituting 55% and 75% of the assemblages. Using GIS, we found that not all areas were impacted equally, largely due to intensity of human occupation. Human settled islands (Navarino and Tierra del Fuego) hosted the greatest number of exotics, but humans alone did not explain observed patterns. Remote islands also had introduced species. North American beavers (Castor canadensis), American minks (Mustela vison) and feral domestic dogs and cats were particularly widespread, and their range in isolated parts of the study area raised important ecological and management questions. In conclusion, the Cape Horn Archipelago retained areas free of exotic vertebrates, particularly parts of the Cape Horn and Alberto D'Agostini National Parks, but at many sites introduced species were overwhelming native biota and altering these previously remote natural ecosystems.</t>
  </si>
  <si>
    <t>Univ Georgia, Inst Ecol, Athens, GA 30602 USA; Parque Etnobot Omora, Magallanes, Chile; Univ Magallanes, Magallanes, Chile; Univ N Texas, Dept Philosophy &amp; Relig Studies, Denton, TX 76203 USA; Museo Nacl Hist Nat, Secc Zool, Santiago, Chile; Univ Calif Davis, Sect Evolut &amp; Ecol, Ctr Populat Biol, Davis, CA 95616 USA; UFZ Ctr Environm Res UFZ, D-04318 Leipzig, Germany; Tech Univ Munique Weihenstephan, Dept Ecol, D-85350 Freising Weihenstephan, Germany</t>
  </si>
  <si>
    <t>University System of Georgia; University of Georgia; Universidad de Magallanes; University of North Texas System; University of North Texas Denton; University of California System; University of California Davis; Helmholtz Association; Helmholtz Center for Environmental Research (UFZ); Technical University of Munich</t>
  </si>
  <si>
    <t>Anderson, CB (corresponding author), Univ Georgia, Inst Ecol, Athens, GA 30602 USA.</t>
  </si>
  <si>
    <t>canderson@alumni.unc.edu</t>
  </si>
  <si>
    <t>Rozzi, Ricardo/G-1047-2012; Anderson, Christopher/V-4882-2019; Rosemond, Amy/I-2688-2018</t>
  </si>
  <si>
    <t>Rozzi, Ricardo/0000-0001-5265-8726; Anderson, Christopher/0000-0001-8120-5689; Schuttler, Elke/0000-0001-9143-6237; Rosemond, Amy/0000-0003-4299-9353</t>
  </si>
  <si>
    <t>0960-3115</t>
  </si>
  <si>
    <t>1572-9710</t>
  </si>
  <si>
    <t>BIODIVERS CONSERV</t>
  </si>
  <si>
    <t>Biodivers. Conserv.</t>
  </si>
  <si>
    <t>10.1007/s10531-005-0605-y</t>
  </si>
  <si>
    <t>102DM</t>
  </si>
  <si>
    <t>WOS:000241791200011</t>
  </si>
  <si>
    <t>Jarman, SN</t>
  </si>
  <si>
    <t>Jarman, Simon N.</t>
  </si>
  <si>
    <t>Cleaver: software for identifying taxon specific restriction endonuclease recognition sites</t>
  </si>
  <si>
    <t>BIOINFORMATICS</t>
  </si>
  <si>
    <t>PCR</t>
  </si>
  <si>
    <t>Cleaver is an application for identifying restriction endonuclease recognition sites that occur in some taxa. but not in others. Differences in DNA fragment restriction patterns among taxa are the basis for many diagnostic assays for taxonomic identification and are used in procedures for removing the DNA of some taxa from pools of DNA from mixed sources. Cleaver analyses restriction digestion of groups of orthologous DNA sequences simultaneously to allow identification of differences in restriction pattern among the fragments derived from different taxa.</t>
  </si>
  <si>
    <t>Jarman, SN (corresponding author), Australian Antarctic Div, Dept Environm &amp; Heritage, 203 Channel Highway, Kingston, Tas 7050, Australia.</t>
  </si>
  <si>
    <t>simon.jarman@aad.gov.au</t>
  </si>
  <si>
    <t>Jarman, Simon/H-9265-2016</t>
  </si>
  <si>
    <t>Jarman, Simon/0000-0002-0792-9686</t>
  </si>
  <si>
    <t>1367-4803</t>
  </si>
  <si>
    <t>1367-4811</t>
  </si>
  <si>
    <t>Bioinformatics</t>
  </si>
  <si>
    <t>SEP 1</t>
  </si>
  <si>
    <t>10.1093/bioinformatics/btl330</t>
  </si>
  <si>
    <t>Biochemical Research Methods; Biotechnology &amp; Applied Microbiology; Computer Science, Interdisciplinary Applications; Mathematical &amp; Computational Biology; Statistics &amp; Probability</t>
  </si>
  <si>
    <t>Biochemistry &amp; Molecular Biology; Biotechnology &amp; Applied Microbiology; Computer Science; Mathematical &amp; Computational Biology; Mathematics</t>
  </si>
  <si>
    <t>083CI</t>
  </si>
  <si>
    <t>WOS:000240433100016</t>
  </si>
  <si>
    <t>Mrva, M</t>
  </si>
  <si>
    <t>Mrva, Martin</t>
  </si>
  <si>
    <t>Diversity of gymnamoebae (Rhizopoda, Gymnamoebia) in a rain-water pool</t>
  </si>
  <si>
    <t>BIOLOGIA</t>
  </si>
  <si>
    <t>naked amoebae; cultivation; rain-water pool; Slovakia; diversity</t>
  </si>
  <si>
    <t>MARITIME ANTARCTIC LAKE; TEMPORAL PLANKTON DYNAMICS; FRESH-WATER; COMMUNITY; AMEBAS</t>
  </si>
  <si>
    <t>The diversity of species of gymnamoebae in a single sample from a, rain-water pool in Bratislava (Slovakia) was investigated. To maximize the recovery of species, six enrichment cultivation media were used. A total of 12 taxa, representing five families and eight genera of Gymnamoebia, were recovered.</t>
  </si>
  <si>
    <t>Comenius Univ, Dept Zool, SK-84215 Bratislava, Slovakia</t>
  </si>
  <si>
    <t>Comenius University Bratislava</t>
  </si>
  <si>
    <t>Mrva, M (corresponding author), Comenius Univ, Dept Zool, Mlynska Dolina B-1, SK-84215 Bratislava, Slovakia.</t>
  </si>
  <si>
    <t>mrva@fns.uniba.sk</t>
  </si>
  <si>
    <t>VERSITA</t>
  </si>
  <si>
    <t>WARSAW</t>
  </si>
  <si>
    <t>SOLIPSKA 14A-1, 02-482 WARSAW, POLAND</t>
  </si>
  <si>
    <t>0006-3088</t>
  </si>
  <si>
    <t>Biologia</t>
  </si>
  <si>
    <t>10.2478/s11756-006-0100-2</t>
  </si>
  <si>
    <t>129EB</t>
  </si>
  <si>
    <t>WOS:000243710100028</t>
  </si>
  <si>
    <t>Rodrigues, E; Ribeiro, ACMT; Bacila, M</t>
  </si>
  <si>
    <t>Rodrigues, Edson; Miguez Teixeira Ribeiro, Ana Cristina; Bacila, Metry</t>
  </si>
  <si>
    <t>L-arginine metabolism in mitochondria isolated from the liver of antarctic fish Notothenia rossii and Notothenia neglecta</t>
  </si>
  <si>
    <t>BRAZILIAN ARCHIVES OF BIOLOGY AND TECHNOLOGY</t>
  </si>
  <si>
    <t>antarctic fish; arginine; arginase; urea cycle; N. neglecta; N. rossii</t>
  </si>
  <si>
    <t>VACUOLAR-MEMBRANE-VESICLES; SACCHAROMYCES-CEREVISIAE; NEUROSPORA-CRASSA; ARGINASE ACTIVITY; MAMMARY-GLAND; NITRIC-OXIDE; TRANSPORT; UREA; SYNTHETASE; MECHANISM</t>
  </si>
  <si>
    <t>The arginase tissue distribution, the biochemical properties of the argininolytic system and the subcellular localization of the enzymes carbamoylphosphate synthetase, ornithinecarbamoyl transferase, glutamine synthetase and arginase in Antarctic fish, N. neglecta and N. rossii were the main aims of the present work. The tissue with highest argininolytic activity was the kidney distal portion amounting as much as four times the specific activity of the hepatic tissue. Arginase and ornithine carbamoyltransferase were found as mitochondrial enzymes, while glutamine synthetase and carbamoylphosphate synthetase were found as cytosolic enzymes. Argininolytic assays with isolated mitochondria gave values of K-mapp for the hydrolysis of arginine 2 to 3.5 times higher than the values found for the K with mitochondrial extracts. The effect Of Mn2+ on the argininolytic activity displayed by isolated mitochondria and mitochondrial extracts, in reaction conditions near the physiological ones showed that membranes were fundamentally involved in the control of L-arginine metabolism.</t>
  </si>
  <si>
    <t>Univ Taubate, Dept Biol, Sao Paulo, SP, Brazil; Pontificia Univ Catolica Parana, Ctr Ciencias Biol &amp; Saude, Curitiba, Parana, Brazil</t>
  </si>
  <si>
    <t>Universidade de Taubate; Pontificia Universidade Catolica do Parana</t>
  </si>
  <si>
    <t>Rodrigues, E (corresponding author), Univ Taubate, Dept Biol, Sao Paulo, SP, Brazil.</t>
  </si>
  <si>
    <t>edsonrod@unitau.br</t>
  </si>
  <si>
    <t>Rodrigues, Edson/C-6792-2015</t>
  </si>
  <si>
    <t>Rodrigues, Edson/0000-0003-3968-6882</t>
  </si>
  <si>
    <t>INST TECNOLOGIA PARANA</t>
  </si>
  <si>
    <t>CURITIBA-PARANA</t>
  </si>
  <si>
    <t>RUA PROF ALGACYR MUNHOZ MADER 3775-CIC, 81350-010 CURITIBA-PARANA, BRAZIL</t>
  </si>
  <si>
    <t>1516-8913</t>
  </si>
  <si>
    <t>BRAZ ARCH BIOL TECHN</t>
  </si>
  <si>
    <t>Braz. Arch. Biol. Technol.</t>
  </si>
  <si>
    <t>10.1590/S1516-89132006000600017</t>
  </si>
  <si>
    <t>115GM</t>
  </si>
  <si>
    <t>WOS:000242722800017</t>
  </si>
  <si>
    <t>Ivanchina, NV; Malvarenko, TV; Kicha, AA; Kalinovskii, AI; Dmitrenok, PS; Mollo, E</t>
  </si>
  <si>
    <t>Ivanchina, N. V.; Malvarenko, T. V.; Kicha, A. A.; Kalinovskii, A. I.; Dmitrenok, P. S.; Mollo, E.</t>
  </si>
  <si>
    <t>Polar steroidal compounds from the Antarctic starfish Diplasterias brucei</t>
  </si>
  <si>
    <t>CHEMISTRY OF NATURAL COMPOUNDS</t>
  </si>
  <si>
    <t>SAPONINS</t>
  </si>
  <si>
    <t>Russian Acad Sci, Pacific Inst Bioorgan Chem, Far E Div, Vladivostok 690022, Russia; Inst Chim Biomol, I-80078 Naples, Italy</t>
  </si>
  <si>
    <t>Elyakov Pacific Institute of Bioorganic Chemistry; Russian Academy of Sciences; Consiglio Nazionale delle Ricerche (CNR); Istituto di Chimica Biomolecolare (ICB-CNR)</t>
  </si>
  <si>
    <t>Ivanchina, NV (corresponding author), Russian Acad Sci, Pacific Inst Bioorgan Chem, Far E Div, Vladivostok 690022, Russia.</t>
  </si>
  <si>
    <t>ivanchina@piboc.dvo.ru</t>
  </si>
  <si>
    <t>Mollo, Ernesto/F-7842-2013; Dmitrenok, Pavel S/N-3307-2013; Ivanchina, Natalia/M-8379-2013; Kicha, Alla A/M-9920-2013</t>
  </si>
  <si>
    <t>Mollo, Ernesto/0000-0001-7379-1788; Ivanchina, Natalia/0000-0001-9075-8584;</t>
  </si>
  <si>
    <t>KLUWER ACADEMIC/PLENUM PUBLISHERS</t>
  </si>
  <si>
    <t>0009-3130</t>
  </si>
  <si>
    <t>CHEM NAT COMPD+</t>
  </si>
  <si>
    <t>Chem. Nat. Compd.</t>
  </si>
  <si>
    <t>SEP-OCT</t>
  </si>
  <si>
    <t>10.1007/s10600-006-0235-y</t>
  </si>
  <si>
    <t>Chemistry, Medicinal; Chemistry, Organic</t>
  </si>
  <si>
    <t>Pharmacology &amp; Pharmacy; Chemistry</t>
  </si>
  <si>
    <t>136KZ</t>
  </si>
  <si>
    <t>WOS:000244222300037</t>
  </si>
  <si>
    <t>Taurisano, A; Tronstad, S; Brandt, O; Kohler, J</t>
  </si>
  <si>
    <t>Taurisano, Andrea; Tronstad, Stein; Brandt, Ola; Kohler, Jack</t>
  </si>
  <si>
    <t>On the use of ground penetrating radar for detecting and reducing crevasse-hazard in Dronning Maud Land, Antarctica</t>
  </si>
  <si>
    <t>COLD REGIONS SCIENCE AND TECHNOLOGY</t>
  </si>
  <si>
    <t>GPR; crevasse detection; modelling; snow bridge</t>
  </si>
  <si>
    <t>We present the results of ground penetrating radar (GPR) investigations performed during the Norwegian Antarctic Research Expedition 2005-2006 with the aim of detecting, mapping and mitigating crevasse hazard. The study focused primarily on a stretch of the route from the research station Troll to the cargo unloading area on the ice shelf margin, where the presence of crevasses has resulted in occasional material damage and constitutes a potential hazard to people safety. A 400-MHz GPR system was utilised to detect the crevasses and tentatively to enable a real-time assessment of the width of the cavities and of the thickness and structure of the snow bridges. An in situ validation of the information provided by different radar signatures was obtained by directly inspecting a number of crevasses. This also allowed us to mitigate the hazard by identifying weak areas and establishing safe crossing points. The interpretation of more ambiguous radar signatures is also validated by using a numerical model. Finally, we have tested the possibility of using radar antennas slanted in the drive direction to increase the detection distance as compared to the traditional down-looking installation. Our results confirm the reliability of GPR for the detection of crevasses and contribute to developing the radar into a standard tool for safer navigation in polar regions. (c) 2006 Elsevier B.V. All rights reserved.</t>
  </si>
  <si>
    <t>Polar Environm Ctr, Norwegian Polar Inst, N-9296 Tromso, Norway</t>
  </si>
  <si>
    <t>Norwegian Polar Institute</t>
  </si>
  <si>
    <t>Taurisano, A (corresponding author), Polar Environm Ctr, Norwegian Polar Inst, N-9296 Tromso, Norway.</t>
  </si>
  <si>
    <t>andrea@npolar.no</t>
  </si>
  <si>
    <t>Kohler, Jack/0000-0003-1963-054X</t>
  </si>
  <si>
    <t>0165-232X</t>
  </si>
  <si>
    <t>COLD REG SCI TECHNOL</t>
  </si>
  <si>
    <t>Cold Reg. Sci. Tech.</t>
  </si>
  <si>
    <t>10.1016/j.coldregions.2006.03.005</t>
  </si>
  <si>
    <t>Engineering, Environmental; Engineering, Civil; Geosciences, Multidisciplinary</t>
  </si>
  <si>
    <t>Engineering; Geology</t>
  </si>
  <si>
    <t>080WX</t>
  </si>
  <si>
    <t>WOS:000240280300005</t>
  </si>
  <si>
    <t>Mark, FC; Lucassen, M; Pörtner, HO</t>
  </si>
  <si>
    <t>Mark, Felix C.; Lucassen, Magnus; Poertner, Hans O.</t>
  </si>
  <si>
    <t>Thermal sensitivity of uncoupling protein expression in polar and temperate fish</t>
  </si>
  <si>
    <t>COMPARATIVE BIOCHEMISTRY AND PHYSIOLOGY D-GENOMICS &amp; PROTEOMICS</t>
  </si>
  <si>
    <t>Zoarcidae; Antarctic fish; uncoupling proteins; temperature acclimation; warm stress; mitochondrial energy metabolism</t>
  </si>
  <si>
    <t>MITOCHONDRIAL PROTON LEAK; CYTOCHROME-C-OXIDASE; CYPRINUS-CARPIO L; SKELETAL-MUSCLE; ACANTHAMOEBA-CASTELLANII; BIOLOGICAL-MEMBRANES; OXIDATIVE STRESS; COLD ADAPTATION; GENE-EXPRESSION; MESSENGER-RNA</t>
  </si>
  <si>
    <t>Uncoupling proteins (UCP), capable of increasing proton leakage across the inner mitochondrial membrane, may play a role in the temperature-dependent setting of energy turnover in animals (and their mitochondria). Therefore, the genes and expression of fish UCP were investigated in the Antarctic eelpout Pachycara brachyeephalum and a temperate confamilial species, the common eelpout Zoarces viviparus. UCP full-length cDNA was amplified from liver and muscle using RT-PCR and rapid amplification of cDNA ends (RACE). The fish UCP mRNA consists of 1906 bp in P. brachycephalum and of 1876 bp in Z. viviparus. Both zoarcid sequences contain open reading frames of 939 bp, encoding 3 13 amino acids, with 98% and 99% identity, respectively. Protein sequences of zoarcid UCP are closest related to fish and mammalian UCP2. For analysis of temperature-dependent expression common eelpouts were cold-acclimated from 10 degrees C to 2 degrees C and Antarctic eelpouts were warm-acclimated from 0 degrees C to 5 degrees C. Identical cDNA probes for both species were developed to investigate fish UCP mRNA expression, and protein expression levels were detected by Western Blot in the enriched membrane fraction. During cold-acclimation in Z viviparus, mRNA levels increased by a factor up to 2.0, protein levels increased up to 1.5, in line with mitochondrial proliferation during cold-acclimation. Despite decreased mitochondrial protein content, in Antarctic eelpout UCP levels rose upon warm acclimation by a factor up to 2.0 (mRNA) and 1.6 (protein), respectively. Besides the ongoing discussion of UCP function in vertebrates, the data are indicative of a significant role of fish UCP in thermal adaptation of fish mitochondria. (c) 2006 Elsevier Inc. All rights reserved.</t>
  </si>
  <si>
    <t>Mark, FC (corresponding author), Alfred Wegener Inst Polar &amp; Marine Res, Postfach 120161, D-27515 Bremerhaven, Germany.</t>
  </si>
  <si>
    <t>fmark@awi-bremerhaven.de</t>
  </si>
  <si>
    <t>Lucassen, Magnus/E-8433-2011; Pörtner, Hans-O./ISU-9397-2023; Pörtner, Hans-O./K-9429-2016; Mark, Felix Christopher/P-4759-2016; Lucassen, Magnus/ABA-8396-2021</t>
  </si>
  <si>
    <t>Pörtner, Hans-O./0000-0001-6535-6575; Mark, Felix Christopher/0000-0002-5586-6704; Lucassen, Magnus/0000-0003-4276-4781</t>
  </si>
  <si>
    <t>1744-117X</t>
  </si>
  <si>
    <t>1878-0407</t>
  </si>
  <si>
    <t>COMP BIOCHEM PHYS D</t>
  </si>
  <si>
    <t>Comp. Biochem. Physiol. D-Genomics Proteomics</t>
  </si>
  <si>
    <t>10.1016/j.cbd.2006.08.004</t>
  </si>
  <si>
    <t>Biochemistry &amp; Molecular Biology; Genetics &amp; Heredity</t>
  </si>
  <si>
    <t>101XS</t>
  </si>
  <si>
    <t>WOS:000241775200011</t>
  </si>
  <si>
    <t>Newsham, KK; Maslen, NR; McInnes, SJ</t>
  </si>
  <si>
    <t>Newsham, K. K.; Maslen, N. R.; McInnes, S. J.</t>
  </si>
  <si>
    <t>Survival of antarctic soil metazoans at -80°C for six years</t>
  </si>
  <si>
    <t>bdelloid rotifers; Coomansus gerlachei; freezing; nematodes; Rhyssocolpus paradoxus; tardigrades</t>
  </si>
  <si>
    <t>NEMATODE PANAGROLAIMUS-DAVIDI; COLD-TOLERANCE MECHANISMS; SEASONAL-VARIATION; TARDIGRADES; HARDINESS</t>
  </si>
  <si>
    <t>A sample of the liverwort Cephaloziella varians was collected on 1 January 1999 at Rothera Point on the Wright Peninsula, Adelaide Island, western Antarctic Peninsula and was partially dried and then frozen at -80 degrees C. The sample was rapidly defrosted to c. 10 degrees C after six years and two months of storage at this temperature. Nematodes, tardigrades and a bdelloid rotifer present in the sample were found to have survived. Of the 159 nematodes recovered from the sample, 49 (31%) were alive: of the tardigrades and rotifers, two of 15 (13%) and one of 48 (2%) had survived, respectively. A Chi-square test showed that there was a significant association between nematode taxon and survival: a greater proportion of Coomansus gerlachei individuals were alive than of Rhyssocolpus paradoxus. A Chi-square test also showed that there was a significant association between phylum and survival: a significantly greater proportion of nematodes or tardigrades were alive than of bdelloid rotifers. We conclude that Antarctic soil metazoans are capable of surviving long-term exposure to low sub-zero temperatures and that there may be taxon-specific effects of freezing on survival.</t>
  </si>
  <si>
    <t>Newsham, KK (corresponding author), British Antarctic Survey, NERC, High Cross,Madingley Rd, Cambridge CB3 0ET, England.</t>
  </si>
  <si>
    <t>Newsham, Kevin K/C-4192-2011; McInnes, Sandra/AAN-4773-2020</t>
  </si>
  <si>
    <t>115CZ</t>
  </si>
  <si>
    <t>WOS:000242713700003</t>
  </si>
  <si>
    <t>Metzl, N; Brunet, C; Jabaud-Jan, A; Poisson, A; Schauer, B</t>
  </si>
  <si>
    <t>Metzl, N.; Brunet, C.; Jabaud-Jan, A.; Poisson, A.; Schauer, B.</t>
  </si>
  <si>
    <t>Summer and winter air-sea CO2 fluxes in the Southern Ocean</t>
  </si>
  <si>
    <t>carbon dioxide; Southern Ocean; air-sea CO(2) fluxes; seasonality</t>
  </si>
  <si>
    <t>DISSOLVED INORGANIC CARBON; TIME-SERIES STATION; ANTARCTIC-OCEAN; INDIAN-OCEAN; INTERANNUAL VARIABILITY; PARTIAL-PRESSURE; SURFACE WATERS; PACIFIC-OCEAN; WIND-SPEED; DIOXIDE</t>
  </si>
  <si>
    <t>The seasonal variability of the carbon dioxide (CO(2)) system in the Southern Ocean, south of 50 degrees S, is analysed from observations obtained in January and August 2000 during OISO cruises conducted in the Indian Antarctic sector. In the seasonal ice zone, SIZ (south of 58 degrees S), surface ocean CO(2) concentrations are well below equilibrium during austral summer. During this season, when sea-ice is not obstructing gas exchange at the air-sea interface, the oceanic CO(2) sink ranges from -2 to -4 mmol/m(2)/d in the SIZ. In the permanent open ocean zone, POOZ (50-58 degrees S), surface oceanic fugacity fCO(2) increases from summer to winter. The seasonal fCO(2) variations (from 10 to 30 mu atm) are relatively low compared to seasonal amplitudes observed in the subtropics or the subantarctic zones. However, these variations in the POOZ are large enough to cross the atmospheric level from summer to winter. Therefore, this region is neither a permanent CO(2) sink nor a permanent CO(2) source. In the POOZ, air-sea CO(2) fluxes calculated from observations are about -1.1 mmol/m(2)/d in January (a small sink) and 2.5 mmol/m(2)/d in August (a source). These estimates obtained for only two periods of the year need to be extrapolated on a monthly scale in order to calculate an integrated air-sea CO(2) flux on an annual basis. For doing this, we use a biogeochemical model that creates annual cycles for nitrate, inorganic carbon, total alkalinity and fCO(2). The changing pattern of ocean CO(2) summer sink and winter source is well reproduced by the model. It is controlled mainly by the balance between summer primary production and winter deep vertical mixing. In the POOZ, the annual air-sea CO(2) flux is about -0.5 mol/m(2)/yr, which is small compared to previous estimates based on oceanic observations but comparable to the small CO(2) sink deduced from atmospheric inverse methods. For reducing the uncertainties attached to the global ocean CO(2) sink south of the Polar Front the regional results presented here should be synthetized with historical and new observations, especially during winter, in other sectors of the Southern Ocean. (c) 2006 Elsevier Ltd. All rights reserved.</t>
  </si>
  <si>
    <t>Univ Paris 06, CNRS UMR 7159, Lab Oceanog &amp; Climat Expt &amp; Approches Numer, Inst Pierre Simon Laplace, F-75252 Paris 5, France</t>
  </si>
  <si>
    <t>Universite Paris Cite; Museum National d'Histoire Naturelle (MNHN); Sorbonne Universite; Universite Paris Saclay; Centre National de la Recherche Scientifique (CNRS); CNRS - National Institute for Earth Sciences &amp; Astronomy (INSU)</t>
  </si>
  <si>
    <t>Metzl, N (corresponding author), Univ Paris 06, CNRS UMR 7159, Lab Oceanog &amp; Climat Expt &amp; Approches Numer, Inst Pierre Simon Laplace, Case 100,4 Pl Jussieu, F-75252 Paris 5, France.</t>
  </si>
  <si>
    <t>metzl@ccr.jussieu.fr</t>
  </si>
  <si>
    <t>metzl, nicolas/0000-0002-1165-1074</t>
  </si>
  <si>
    <t>10.1016/j.dsr.2006.07.006</t>
  </si>
  <si>
    <t>106UF</t>
  </si>
  <si>
    <t>WOS:000242126500006</t>
  </si>
  <si>
    <t>Nevot, M; Deroncelé, V; Messner, P; Guinea, J; Mercadé, E</t>
  </si>
  <si>
    <t>Nevot, Maria; Deroncele, Victor; Messner, Paul; Guinea, Jesus; Mercade, Elena</t>
  </si>
  <si>
    <t>Characterization of outer membrane vesicles released by the psychrotolerant bacterium Pseudoalteromonas antarctica NF3</t>
  </si>
  <si>
    <t>SP-NOV; SEA-ICE; ACTINOBACILLUS-ACTINOMYCETEMCOMITANS; EXTRACELLULAR COMPONENTS; PSEUDOMONAS-AERUGINOSA; VIRULENCE FACTORS; EXOPOLYSACCHARIDES; PROTEINS; COLD; LIPOPOLYSACCHARIDES</t>
  </si>
  <si>
    <t>Pseudoalteromonas antarctica NF3 is an Antarctic psychrotolerant Gram-negative bacterium that accumulates large amounts of an extracellular polymeric substance (EPS) with high protein content. Transmission electron microscopy analysis after high-pressure freezing and freeze substitution (HPF-FS) shows that the EPS is composed of a capsular polymer and large numbers of outer membrane vesicles (OMVs). These vesicles are bilayered structures and predominantly spherical in shape, with an average diameter of 25-70 nm, which is similar to what has been observed in OMVs from other Gram-negative bacteria. Analyses of lipopolysaccharide (LPS), phospholipids and protein profiles of OMVs are consistent with the bacterial outer membrane origin of these vesicles. In an initial attempt to elucidate the functions of OMVs proteins, we conducted a proteomic analysis on 1D SDS-PAGE bands. Those proteins putatively identified match with outer membrane proteins and proteins related to nutrient processing and transport in Gram-negative bacteria. This approach suggests that OMVs present in the EPS from P. antarctica NF3, might function to deliver proteins to the external media, and therefore play an important role in the survival of the bacterium in the extreme Antarctic environment.</t>
  </si>
  <si>
    <t>Univ Barcelona, Fac Farm, Microbiol Lab, E-08028 Barcelona, Spain; Univ Bodenkultur Wien, Zentrum Nanobiotechnol, A-1180 Vienna, Austria</t>
  </si>
  <si>
    <t>University of Barcelona; BOKU University</t>
  </si>
  <si>
    <t>Mercadé, E (corresponding author), Univ Barcelona, Fac Farm, Microbiol Lab, E-08028 Barcelona, Spain.</t>
  </si>
  <si>
    <t>mmercade@ub.edu</t>
  </si>
  <si>
    <t>Deroncele, Victor Manuel/J-6549-2014; Nevot, Maria/AAC-7839-2022; Messner, Paul/Q-5345-2017; Mercade, Elena/L-5218-2014</t>
  </si>
  <si>
    <t>Nevot, Maria/0000-0003-4947-4648; Messner, Paul/0000-0002-3246-5801; Mercade, Elena/0000-0001-7828-2210</t>
  </si>
  <si>
    <t>Austrian Science Fund FWF [P 18013] Funding Source: Medline</t>
  </si>
  <si>
    <t>Austrian Science Fund FWF(Austrian Science Fund (FWF))</t>
  </si>
  <si>
    <t>10.1111/j.1462-2920.2006.01043.x</t>
  </si>
  <si>
    <t>070GZ</t>
  </si>
  <si>
    <t>WOS:000239510600004</t>
  </si>
  <si>
    <t>Lu, H; Moran, CJ; Prosser, IP</t>
  </si>
  <si>
    <t>Lu, Hua; Moran, C. J.; Prosser, Ian P.</t>
  </si>
  <si>
    <t>Modelling sediment delivery ratio over the Murray Darling Basin</t>
  </si>
  <si>
    <t>ENVIRONMENTAL MODELLING &amp; SOFTWARE</t>
  </si>
  <si>
    <t>15th Biannual Congress on Modelling and Simulation</t>
  </si>
  <si>
    <t>Townsville, AUSTRALIA</t>
  </si>
  <si>
    <t>sediment delivery ratio; soil erosion; catchment response; sediment residence time; effective rainfall duration; spatial modelling</t>
  </si>
  <si>
    <t>EROSION; YIELD</t>
  </si>
  <si>
    <t>This paper presents a scientific and technical description of the modelling framework and the main results of modelling the long-term average sediment delivery at hillslope to medium-scale catchments over the entire Murray Darling Basin (MDB). A theoretical development that relates long-term averaged sediment delivery to the statistics of rainfall and catchment parameters is presented. The derived flood frequency approach was adapted to investigate the problem of regionalization of the sediment delivery ratio (SDR) across the Basin. SDR, a measure of catchment response to the upland erosion rate, was modeled by two lumped linear stores arranged in series: hillslope transport to the nearest streams and flow routing in the channel network. The theory shows that the ratio of catchment sediment residence time (SRT) to average effective rainfall duration is the most important control in the sediment delivery processes. In this study, catchment SRTs were estimated using travel time for overland flow multiplied by an enlargement factor which is a function of particle size. Rainfall intensity and effective duration statistics were regionalized by using long-term measurements from 195 pluviograph sites within and around the Basin. Finally, the model was implemented across the MDB by using spatially distributed soil, vegetation, topographical and land use properties under Geographic Information System (GIs) environment. The results predict strong variations in SDR from close to 0 in floodplains to 70% in the eastern uplands of the Basin. (c) 2005 Elsevier Ltd. All rights reserved.</t>
  </si>
  <si>
    <t>CSIRO, Land &amp; Water, Canberra, ACT, Australia; Univ Cambridge, Inst Theoret Geophys, Cambridge CB2 1TN, England; Univ Queensland, Ctr Water Minerals Ind, St Lucia, Qld 4067, Australia</t>
  </si>
  <si>
    <t>Commonwealth Scientific &amp; Industrial Research Organisation (CSIRO); CSIRO Land &amp; Water; University of Cambridge; University of Queensland</t>
  </si>
  <si>
    <t>Lu, H (corresponding author), British Antarctic Survey, High Cross,Madingley Rd, Cambridge CB3 0ET, England.</t>
  </si>
  <si>
    <t>hiu@bas.ac.uk</t>
  </si>
  <si>
    <t>Lu, Hua/GXA-0276-2022; Moran, Chris/B-7265-2016; Prosser, Ian/F-5760-2013</t>
  </si>
  <si>
    <t>Lu, Hua/0000-0001-9485-5082; Moran, Chris/0000-0003-1487-5281; Prosser, Ian/0000-0001-7252-1540</t>
  </si>
  <si>
    <t>1364-8152</t>
  </si>
  <si>
    <t>1873-6726</t>
  </si>
  <si>
    <t>ENVIRON MODELL SOFTW</t>
  </si>
  <si>
    <t>Environ. Modell. Softw.</t>
  </si>
  <si>
    <t>10.1016/j.envsoft.2005.04.021</t>
  </si>
  <si>
    <t>Computer Science, Interdisciplinary Applications; Engineering, Environmental; Environmental Sciences; Water Resources</t>
  </si>
  <si>
    <t>Computer Science; Engineering; Environmental Sciences &amp; Ecology; Water Resources</t>
  </si>
  <si>
    <t>060JE</t>
  </si>
  <si>
    <t>WOS:000238797700009</t>
  </si>
  <si>
    <t>Lavrenov, IV; Porubov, AV</t>
  </si>
  <si>
    <t>Lavrenov, I. V.; Porubov, A. V.</t>
  </si>
  <si>
    <t>Three reasons for freak wave generation in the non-uniform current</t>
  </si>
  <si>
    <t>EUROPEAN JOURNAL OF MECHANICS B-FLUIDS</t>
  </si>
  <si>
    <t>freak wave; non-uniform current; wave-current interaction; non-linear waves</t>
  </si>
  <si>
    <t>ROGUE WAVE</t>
  </si>
  <si>
    <t>Three reasons for freak wave generation due to interaction of wave with spatially non-uniform current are considered in the paper. They are as follows: wave energy amplification due to wave-current interaction. wave height amplification around caustic due to refraction wave in non-uniform current; non-linear wave interaction in shallow water due to their intersection described by the Kadomtsev-Petviashvili equation. These mechanisms can generate a large wave amplification producing a dangerous natural phenomenon. (C) 2006 Elsevier SAS. All rights reserved.</t>
  </si>
  <si>
    <t>Arctic &amp; Antarctic Res Inst, St Petersburg 199226, Russia; AF Ioffe Phys Tech Inst, St Petersburg 194021, Russia</t>
  </si>
  <si>
    <t>Arctic &amp; Antarctic Research Institute; Russian Academy of Sciences; St. Petersburg Scientific Centre of the Russian Academy of Sciences; Ioffe Physical Technical Institute</t>
  </si>
  <si>
    <t>Lavrenov, IV (corresponding author), Arctic &amp; Antarctic Res Inst, St Petersburg 199226, Russia.</t>
  </si>
  <si>
    <t>lavren@aari.nw.ru</t>
  </si>
  <si>
    <t>Porubov, Alexey/K-9277-2019; Porubov, Alexey/M-9522-2013</t>
  </si>
  <si>
    <t>Porubov, Alexey/0000-0002-9893-7242</t>
  </si>
  <si>
    <t>0997-7546</t>
  </si>
  <si>
    <t>1873-7390</t>
  </si>
  <si>
    <t>EUR J MECH B-FLUID</t>
  </si>
  <si>
    <t>Eur. J. Mech. B-Fluids</t>
  </si>
  <si>
    <t>10.1016/j.euromechflu.2006.02.009</t>
  </si>
  <si>
    <t>Mechanics; Physics, Fluids &amp; Plasmas</t>
  </si>
  <si>
    <t>Mechanics; Physics</t>
  </si>
  <si>
    <t>084QO</t>
  </si>
  <si>
    <t>WOS:000240549700005</t>
  </si>
  <si>
    <t>Norris, TB; Castenholz, RW</t>
  </si>
  <si>
    <t>Norris, Tracy B.; Castenholz, Richard W.</t>
  </si>
  <si>
    <t>Endolithic photosynthetic communities within ancient and recent travertine deposits in Yellowstone National Park</t>
  </si>
  <si>
    <t>endolithic; photo-microbial community; cyanobacteria; travertine; Yellowstone National Park</t>
  </si>
  <si>
    <t>16S RIBOSOMAL-RNA; ANTARCTIC COLD DESERT; MAMMOTH HOT-SPRINGS; MCMURDO DRY VALLEYS; COLORADO PLATEAU; NIAGARA ESCARPMENT; SOIL CRUSTS; CYANOBACTERIA; DIVERSITY; ALGAE</t>
  </si>
  <si>
    <t>Molecular and culture based methods were used to survey endolithic, photosynthetic communities from hot spring-formed travertine rocks of various ages, ranging from &lt; 10 to greater than 300 000 years. Much of this travertine contained a 1-3-mm-thick greenish band composed mainly of cyanobacteria 1-5 mm below the rock surface. The travertine rocks experienced desiccation in summer and freezing in winter. A total of 83 environmental 16S rRNA gene sequences were obtained from clone libraries and denaturing gradient gel electrophoresis. Small subunit rRNA gene sequences and cell morphology were determined for 36 cyanobacterial culture isolates from these samples. Phylogenetic analysis showed that the 16S rRNA gene sequences fell into 15 distinct clusters, including several novel lineages of cyanobacteria.</t>
  </si>
  <si>
    <t>Univ Oregon, Ctr Ecol &amp; Evolutionary Biol, Eugene, OR 97403 USA</t>
  </si>
  <si>
    <t>University of Oregon</t>
  </si>
  <si>
    <t>Norris, TB (corresponding author), Univ Oregon, Ctr Ecol &amp; Evolutionary Biol, Eugene, OR 97403 USA.</t>
  </si>
  <si>
    <t>tbnorris@yahoo.com</t>
  </si>
  <si>
    <t>10.1111/j.1574-6941.2006.00134.x</t>
  </si>
  <si>
    <t>071XC</t>
  </si>
  <si>
    <t>WOS:000239636200012</t>
  </si>
  <si>
    <t>Bentley, MJ; Fogwill, CJ; Kubik, PW; Sugden, DE</t>
  </si>
  <si>
    <t>Bentley, Michael J.; Fogwill, Christopher J.; Kubik, Peter W.; Sugden, David E.</t>
  </si>
  <si>
    <t>Geomorphological evidence and cosmogenic 10Be/26Al exposure ages for the Last Glacial Maximum and deglaciation of the Antarctic Peninsula Ice Sheet</t>
  </si>
  <si>
    <t>GEOLOGICAL SOCIETY OF AMERICA BULLETIN</t>
  </si>
  <si>
    <t>glacial geology; Antarctic Peninsula; ice sheets; deglaciation; cosmogenic isotopes</t>
  </si>
  <si>
    <t>MARIE-BYRD-LAND; LATE WISCONSIN; PRODUCTION-RATES; ROSS EMBAYMENT; BAFFIN-ISLAND; SEA; HISTORY; BE-10; HOLOCENE; RETREAT</t>
  </si>
  <si>
    <t>This paper presents the first systematic attempt to map the Last Glacial Maximum (LGM) configuration of the southern and central parts of the Antarctic Peninsula Ice Sheet, and to determine the timing of onshore ice-sheet retreat. Geomorphologic evidence shows that the LGM ice sheet expanded to form two ice domes in Palmer Land and merged with an expanded and thicker West Antarctic Ice Sheet in the Weddell Sea. Ice from the Antarctic Peninsula merged with Alexander Island ice in George VI Sound. Cosmogenic Be-10 and (26)AI data from 29 erratics on mmataks yield model ages between 7.2 ka and older than 1 Ma. The data set contains a high proportion of erratics with evidence of nuclide inheritance. Once these ages have been excluded, the cosmogenic ages suggest that thinning of the west side of the Antarctic Peninsula Ice Sheet to near-present configuration was almost complete by the early Holocene. These data, combined with previously published C-14 data, exclude the possibility that the west side of the Antarctic Peninsula Ice Sheet has been thinning throughout the Holocene, as has been demonstrated for some other sectors of the West Antarctic Ice Sheet. On the east side of the Antarctic Peninsula, ice-sheet thinning was under way prior to the early Holocene, but our data do not constrain the ice-sheet behavior more recently than 7.2 ka.</t>
  </si>
  <si>
    <t>Univ Durham, Dept Geog, Durham DH1 3LE, England; Univ Edinburgh, Sch Geosci, Inst Geog, Edinburgh EH8 9XP, Midlothian, Scotland; ETH, Paul Scherrer Inst, Inst Particle Phys, CH-8093 Zurich, Switzerland; Univ Edinburgh, Sch Geosci, Grant Inst, Edinburgh EH9 3JW, Midlothian, Scotland</t>
  </si>
  <si>
    <t>Durham University; University of Edinburgh; Swiss Federal Institutes of Technology Domain; ETH Zurich; Paul Scherrer Institute; University of Edinburgh</t>
  </si>
  <si>
    <t>Bentley, MJ (corresponding author), Univ Durham, Dept Geog, South Rd, Durham DH1 3LE, England.</t>
  </si>
  <si>
    <t>m.j.bentley@durham.ac.uk; chr-is.fogwill@ed.ac.uk; kubik@phys.ethz.ch; david.sugden@ed.ac.uk</t>
  </si>
  <si>
    <t>Fogwill, Chris/AAW-3502-2021; Fogwill, Christopher/HPF-1150-2023; Bentley, Michael J/F-7386-2011</t>
  </si>
  <si>
    <t>Fogwill, Chris/0000-0002-6471-1106; Bentley, Michael J/0000-0002-2048-0019</t>
  </si>
  <si>
    <t>0016-7606</t>
  </si>
  <si>
    <t>1943-2674</t>
  </si>
  <si>
    <t>GEOL SOC AM BULL</t>
  </si>
  <si>
    <t>Geol. Soc. Am. Bull.</t>
  </si>
  <si>
    <t>9-10</t>
  </si>
  <si>
    <t>10.1130/B25735.1</t>
  </si>
  <si>
    <t>084CE</t>
  </si>
  <si>
    <t>WOS:000240508500007</t>
  </si>
  <si>
    <t>Wendt, J; Dietrich, R; Fritsche, M; Wendt, A; Yuskevich, A; Kokhanov, A; Senatorov, A; Lukin, V; Shibuya, K; Doi, K</t>
  </si>
  <si>
    <t>Wendt, Jens; Dietrich, Reinhard; Fritsche, Mathias; Wendt, Anja; Yuskevich, Alexander; Kokhanov, Andrey; Senatorov, Anton; Lukin, Valery; Shibuya, Kazuo; Doi, Koichiro</t>
  </si>
  <si>
    <t>Geodetic observations of ice flow velocities over the southern part of subglacial Lake Vostok, Antarctica, and their glaciological implications</t>
  </si>
  <si>
    <t>Antarctica; geodesy; glaciology; GPS; ice flow velocity; Lake Vostok</t>
  </si>
  <si>
    <t>CENTRAL EAST ANTARCTICA; ACCRETED ICE; WATER; SHEET; CORE; DYNAMICS</t>
  </si>
  <si>
    <t>In the austral summer seasons 2001/02 and 2002/03, Global Positioning System (GPS) data were collected in the vicinity of Vostok Station to determine ice flow velocities over Lake Vostok. Ten GPS sites are located within a radius of 30 km around Vostok Station on floating ice as well as on grounded ice to the east and to the west of the lake. Additionally, a local deformation network around the ice core drilling site 5G-1 was installed. The derived ice flow velocity for Vostok Station 2.00 m a(-1) +/- 0.01 m a(-1). Along the flowline of Vostok Station an extension rate of about 10(-5) a(-1) (equivalent to 1 cm km(-1) a(-1)) was determined. This significant velocity gradient results in a new estimate of 28 700 years for the transit time of an ice particle along the Vostok flowline from the bedrock ridge in the southwest of the lake to the eastern shoreline. With these lower velocities compared to earlier studies and, hence, larger transit times the basal accretion rate is estimated to be 4 mm a(-1) along a portion of the Vostok flowline. An assessment of the local accretion rate at Vostok Station using the observed geodetic quantities yields an accretion rate in the same order of magnitude. Furthermore, the comparison of our geodetic observations with results inferred from ice-penetrating radar data indicates that the ice flow may not have changed significantly for several thousand years.</t>
  </si>
  <si>
    <t>Dresden Univ Technol, Inst Planetare Geodasie, D-01062 Dresden, Germany; Ctr Estudios Cient, Valdivia, Chile; Aerogeodeziya, St Petersburg 192102, Russia; Arctic &amp; Antarctic Res Inst, Russian Antarct Expedit, St Petersburg 199397, Russia; Polar Res Resources Ctr, Natl Inst Polar Res, Itabashi Ku, Tokyo 1738515, Japan</t>
  </si>
  <si>
    <t>Technische Universitat Dresden; Arctic &amp; Antarctic Research Institute; Research Organization of Information &amp; Systems (ROIS); National Institute of Polar Research (NIPR) - Japan</t>
  </si>
  <si>
    <t>Wendt, J (corresponding author), Dresden Univ Technol, Inst Planetare Geodasie, D-01062 Dresden, Germany.</t>
  </si>
  <si>
    <t>jwendt@cecs.cl</t>
  </si>
  <si>
    <t>Lukin, Valeriy/N-1147-2015</t>
  </si>
  <si>
    <t>Lukin, Valeriy/0000-0003-1726-7361</t>
  </si>
  <si>
    <t>10.1111/j.1365-246X.2006.03061.x</t>
  </si>
  <si>
    <t>075DF</t>
  </si>
  <si>
    <t>WOS:000239862300001</t>
  </si>
  <si>
    <t>Church, JA; White, NJ; Hunter, JR</t>
  </si>
  <si>
    <t>Church, John A.; White, Neil J.; Hunter, John R.</t>
  </si>
  <si>
    <t>Sea-level rise at tropical Pacific and Indian Ocean islands</t>
  </si>
  <si>
    <t>sea-level changes; climate change; Indian Ocean; Pacific Ocean</t>
  </si>
  <si>
    <t>SURFACE TEMPERATURE; TIDE GAUGES; FUTURE; PERSPECTIVES; VARIABILITY; MALDIVES; HAWAII</t>
  </si>
  <si>
    <t>Historical and projected sea-levels for islands in the tropical Pacific and Indian oceans are a subject of considerable interest and some controversy. The large variability (e.g. El Nino) signals and the shortness of many of the individual tide-gauge records contribute to uncertainty of historical rates of sea-level rise. Here, we determine rates of sea-level rise from tide gauges in the region. We also examine sea-level data from the TOPEX/Poseidon satellite altimeter and from a reconstruction of sea level in order to put the sparse (in space and time) tide-gauge data into context. For 1993 to 2001, all the data show large rates of sea-level rise over the western Pacific and eastern Indian Ocean (approaching 30 mm yr(-1)) and sea-level falls in the eastern Pacific and western Indian Ocean (approaching - 10 mm yr(-1)). Over the region 40 degrees S to 40 degrees N, 30 degrees E to 120 degrees W, the average rise is about 4 mm yr(-1). For 1950 to 2001, the average sea-level rise (relative to land) from the six longest tide-gauge records is 1.4 mm yr(-1). After correcting for glacial isostatic adjustment and atmospheric pressure effects, this rate is 2.0 min yr(-1), close to estimates of the global average and regional average rate of rise. The long tide-gauge records in the equatorial Pacific indicate that the variance of monthly averaged sea-level after 1970 is about twice that before 1970. We find no evidence for,the fall in sea level at the Maldives as postulated by Morner et al. (2004). Our best estimate of relative sea-level rise at Funafuti, Tuvalu is 2 +/- 1 min yr(-1) over the period 1950 to 2001. The analysis clearly indicates that sea-level in this region is rising. We expect that the continued and increasing rate of sea-level rise and any resulting increase in the frequency or intensity of extreme sea-level events will cause serious problems for the inhabitants of some of these islands during the 21st century. (C) 2006 Elsevier B.V. All rights reserved.</t>
  </si>
  <si>
    <t>CSIRO Marine &amp; Atmospher Res, Hobart, Tas 7001, Australia; Antarctic Climate &amp; Ecosyst Cooperat Res Ctr, Hobart, Tas 7001, Australia</t>
  </si>
  <si>
    <t>Church, JA (corresponding author), CSIRO Marine &amp; Atmospher Res, GPO Box 1538, Hobart, Tas 7001, Australia.</t>
  </si>
  <si>
    <t>John.Church@csiro.au</t>
  </si>
  <si>
    <t>Church, John A/A-1541-2012; White, Neil/B-2077-2013; Jiao, Liqing/A-8821-2011</t>
  </si>
  <si>
    <t>Church, John A/0000-0002-7037-8194;</t>
  </si>
  <si>
    <t>10.1016/j.gloplacha.2006.04.001</t>
  </si>
  <si>
    <t>087LD</t>
  </si>
  <si>
    <t>WOS:000240743000001</t>
  </si>
  <si>
    <t>Chase, Z; Paytan, A; Johnson, KS; Street, J; Chen, Y</t>
  </si>
  <si>
    <t>Chase, Zanna; Paytan, Adina; Johnson, Kenneth S.; Street, Joseph; Chen, Ying</t>
  </si>
  <si>
    <t>Input and cycling of iron in the Gulf of Aqaba, Red Sea</t>
  </si>
  <si>
    <t>ANTARCTIC CIRCUMPOLAR CURRENT; NORTH-ATLANTIC OCEAN; SEASONAL-VARIATIONS; CHELATING RESIN; SURFACE WATERS; TRACE-METALS; WORLD OCEAN; NUTRIENT; SEAWATER; PHYTOPLANKTON</t>
  </si>
  <si>
    <t>[ 1] The Gulf of Aqaba, northern Red Sea, is an ideal natural laboratory for studying the impact of atmospheric dry deposition of iron to the ocean surface. We have measured atmospheric iron deposition weekly for 18 months, and dissolved and total dissolvable iron concentrations in the stratified summer ( August) and well-mixed winter ( March) water column. Concentrations of dissolved and total dissolvable iron remain roughly constant with depth in March. In August, there is a strong surface enrichment of iron. The accumulation of iron at the surface during the rain-free summer can be simulated by a one-dimensional model including atmospheric iron flux and estimates of iron scavenging, biological uptake and dissolution. An overall dissolution of 2% of dry deposited aerosol iron produces the best fit to the observations. A residence time of half a year for dissolved iron in surface waters with respect to scavenging is calculated for this region.</t>
  </si>
  <si>
    <t>Oregon State Univ, Coll Ocean &amp; Atmospher Sci, Corvallis, OR 97331 USA; Stanford Univ, Dept Geol &amp; Environm Sci, Stanford, CA 94305 USA; Monterey Bay Aquarium Res Inst, Moss Landing, CA 95039 USA</t>
  </si>
  <si>
    <t>Oregon State University; Stanford University; Monterey Bay Aquarium Research Institute</t>
  </si>
  <si>
    <t>Chase, Z (corresponding author), Oregon State Univ, Coll Ocean &amp; Atmospher Sci, Ocean Adm Bldg 104, Corvallis, OR 97331 USA.</t>
  </si>
  <si>
    <t>zanna@coas.oregonstate.edu; apaytan@pangea.stanford.edu; kjohnson@mbari.org; jstreet@stanford.edu; ychen04@stanford.edu</t>
  </si>
  <si>
    <t>Chase, Zanna/E-9232-2013; Johnson, Kenneth/F-9742-2011</t>
  </si>
  <si>
    <t>Chase, Zanna/0000-0001-5060-779X; Johnson, Kenneth/0000-0001-5513-5584</t>
  </si>
  <si>
    <t>GB3017</t>
  </si>
  <si>
    <t>10.1029/2005GB002646</t>
  </si>
  <si>
    <t>081QR</t>
  </si>
  <si>
    <t>WOS:000240332600001</t>
  </si>
  <si>
    <t>Wasley, J; Robinson, SA; Lovelock, CE; Popp, M</t>
  </si>
  <si>
    <t>Wasley, Jane; Robinson, Sharon A.; Lovelock, Catherine E.; Popp, Marianne</t>
  </si>
  <si>
    <t>Climate change manipulations show Antarctic flora is more strongly affected by elevated nutrients than water</t>
  </si>
  <si>
    <t>bryophytes; chlorophyll; chlorophyll fluorescence; community ecology; ecophysiology; lichens; nitrogen; phosphorous; stable isotopes; delta C-13</t>
  </si>
  <si>
    <t>DRONNING MAUD LAND; SIMULATED ENVIRONMENTAL-CHANGE; CARBON-ISOTOPE DISCRIMINATION; WINDMILL ISLANDS; ARCTIC TUNDRA; WILKES-LAND; ORNITHOGENIC PRODUCTS; PLANT-COMMUNITIES; PHYSICAL FACTORS; CHLOROPHYLL-A</t>
  </si>
  <si>
    <t>Climate change is expected to affect the high latitudes first and most severely, rendering Antarctica one of the most significant baseline environments for the study of global climate change. The indirect effects of climate warming, including changes to the availability of key environmental resources, such as water and nutrients, are likely to have a greater impact upon continental Antarctic terrestrial ecosystems than the effects of fluctuations in temperature alone. To investigate the likely impacts of a wetter climate on Antarctic terrestrial communities a multiseason, manipulative field experiment was conducted in the floristically important Windmill Islands region of East Antarctica. Four cryptogamic communities (pure bryophyte, moribund bryophyte, crustose and fructicose lichen-dominated) received increased water and/or nutrient additions over two consecutive summer seasons. The increased water approximated an 18% increase in snow melt days (0.2 degrees C increase in temperature), while the nutrient addition of 3.5g Nm(-2) yr(-1) was within the range of soil N in the vicinity. A range of physiological and biochemical measurements were conducted in order to quantify the community response. While an overall increase in productivity in response to water and nutrient additions was observed, productivity appeared to respond more strongly to nutrient additions than to water additions. Pure bryophyte communities, and lichen communities dominated by the genus Usnea, showed stronger positive responses to nutrient additions, identifying some communities that may be better able to adapt and prosper under the ameliorating conditions associated with a warmer, wetter future climate. Under such a climate, productivity is overall likely to increase but some cryptogamic communities are likely to thrive more than others. Regeneration of moribund bryophytes appears likely only if a future moisture regime creates consistently moist conditions.</t>
  </si>
  <si>
    <t>Univ Wollongong, Inst Conservat Biol, Wollongong, NSW 2522, Australia; Univ Queensland, Ctr Marine Studies, Brisbane, Qld 4072, Australia; Univ Vienna, Inst Ecol &amp; Conservat Biol, A-1090 Vienna, Austria</t>
  </si>
  <si>
    <t>University of Wollongong; University of Queensland; University of Vienna</t>
  </si>
  <si>
    <t>Lovelock, Catherine E/G-7370-2012; Popp, Marianne/E-7559-2012; Lovelock, Catherine E./AAF-7294-2020; Robinson, Sharon/B-2683-2008; Wasley, Jane/KHX-4880-2024</t>
  </si>
  <si>
    <t>Lovelock, Catherine E./0000-0002-2219-6855; Robinson, Sharon/0000-0002-7130-9617; Wasley, Jane/0000-0001-9379-664X</t>
  </si>
  <si>
    <t>10.1111/j.1365-2486.2006.01209.x</t>
  </si>
  <si>
    <t>077CM</t>
  </si>
  <si>
    <t>WOS:000240005300019</t>
  </si>
  <si>
    <t>Villar, SEJ; Edwards, HGM; Benning, LG</t>
  </si>
  <si>
    <t>Villar, Susana E. Jorge; Edwards, Howell G. M.; Benning, Liane G.</t>
  </si>
  <si>
    <t>Raman spectroscopic and scanning electron microscopic analysis of a novel biological colonisation of volcanic rocks</t>
  </si>
  <si>
    <t>ICARUS</t>
  </si>
  <si>
    <t>spectroscopy; astrobiology; Mars; search for extraterrestrial life</t>
  </si>
  <si>
    <t>ULTRAVIOLET-RADIATION; PREBIOTIC CHEMISTRY; ANTARCTIC HABITATS; LIFE; MARS; BIOMOLECULES; DEPOSITS; ORIGINS; SURFACE; EXTREMOPHILES</t>
  </si>
  <si>
    <t>A novel type of colonisation of a basaltic rock, collected on the Arctic island of Svalbard, Norway, during the AMASE expedition in 2004, was characterised using Raman spectroscopy and Scanning Electron Microscopy (SEM). The sample contains two different types of extremophile communities, one occurring behind a radial white crystallisation and the other occurring inside a dark vacuole. Several types of minerals and microbial colonies have been identified by both Raman spectroscopy and SEM analyses. It is the first time that photosynthetic communities have been documented to colonise the inside of dark basaltic rocks. Our discovery has important implications for planetary exploration because it extends the analytical capability and our understanding of microbial rock colonisations to subaerial volcanic outcrops and has wide implications towards the search for life in extraterrestrial planets. In this work we also demonstrate that the use of different laser wavelengths for Raman spectroscopic studies and complementary microscopic analysis are critical for a comprehensive organic and inorganic compound identification. (c) 2006 Elsevier Inc. All rights reserved.</t>
  </si>
  <si>
    <t>Fac Humanidades &amp; Educ, Area Geodinam Interna, Burgos 09001, Spain; Univ Bradford, Bradford BD7 1DP, W Yorkshire, England; Univ Leeds, Earth &amp; Biosphere Inst, Sch Earth &amp; Environm, Leeds LS2 9JT, W Yorkshire, England</t>
  </si>
  <si>
    <t>University of Bradford; University of Leeds</t>
  </si>
  <si>
    <t>Villar, SEJ (corresponding author), Fac Humanidades &amp; Educ, Area Geodinam Interna, C Villadiego S-N, Burgos 09001, Spain.</t>
  </si>
  <si>
    <t>seju@ubu.es</t>
  </si>
  <si>
    <t>Jorge-Villar, Susana E./A-8927-2011; Benning, Liane G./E-7071-2011</t>
  </si>
  <si>
    <t>Jorge-Villar, Susana E./0000-0003-1676-4438; Benning, Liane G./0000-0001-9972-5578</t>
  </si>
  <si>
    <t>0019-1035</t>
  </si>
  <si>
    <t>1090-2643</t>
  </si>
  <si>
    <t>Icarus</t>
  </si>
  <si>
    <t>10.1016/j.icarus.2006.04.009</t>
  </si>
  <si>
    <t>080KU</t>
  </si>
  <si>
    <t>WOS:000240247400008</t>
  </si>
  <si>
    <t>Kunz, LB; Long, DG</t>
  </si>
  <si>
    <t>Kunz, Lukas B.; Long, David G.</t>
  </si>
  <si>
    <t>Melt detection in Antarctic ice shelves using scatterometers and microwave radiometers</t>
  </si>
  <si>
    <t>Antarctic; ice; ice shelves; melt onset; QuikSCAT; refreeze; SeaWinds; Special Sensor Microwave/Imager (SSM/I)</t>
  </si>
  <si>
    <t>PASSIVE-MICROWAVE; VARIABILITY; PENINSULA; SENSORS; EXTENT; ONSET</t>
  </si>
  <si>
    <t>Ku-band dual-polarization radar backscatter measurements from the SeaWinds-on-QuikSCAT scatterometer are used to determine periods of surface freeze and melt in the Antarctic ice shelves. The normalized horizontal-polarization radar backscatter (sigma(o)) and backscatter polarization ratio are used in maximum-likelihood estimation of the ice state. This method is used to infer the daily ice-surface conditions for 25 study locations located on the Ronne, Ross, Larsen, Amery, Shackleton, and other ice shelves. The temporal and spatial variations of the radar response are observed for various neighborhood sizes surrounding each given location during the study period. Criteria for determining the dates of melt onset and freeze-up for each Austral summer are presented. Validation of the ice-state and melt-onset date estimates is performed by analyzing the corresponding brightness temperature (T-b) measurements from Special Sensor Microwave/Imager (SSM/I) radiometers. QuikSCAT sigma(o) measurements from 1999 to 2003 are analyzed and found to be effective in determining periods of melt in Antarctic ice sheets at high temporal and spatial resolutions. These estimates can be used in studies of the climatic effects of the seasonal and interannual melting of the Antarctic ice sheets.</t>
  </si>
  <si>
    <t>Brigham Young Univ, Microwave Earth Remote Sensing Lab, Provo, UT 84602 USA</t>
  </si>
  <si>
    <t>Kunz, LB (corresponding author), Raytheon Missile Syst, Tucson, AZ 85706 USA.</t>
  </si>
  <si>
    <t>long@ee.byu.edu</t>
  </si>
  <si>
    <t>10.1109/TGRS.2006.874138</t>
  </si>
  <si>
    <t>079HT</t>
  </si>
  <si>
    <t>WOS:000240167200015</t>
  </si>
  <si>
    <t>Khare, N; Chaturvedi, SK</t>
  </si>
  <si>
    <t>Khare, N.; Chaturvedi, S. K.</t>
  </si>
  <si>
    <t>Size variations of planktonic foraminiferal population in the Indian Ocean sector of Southern Ocean</t>
  </si>
  <si>
    <t>INDIAN JOURNAL OF MARINE SCIENCES</t>
  </si>
  <si>
    <t>size variation; planktonic foraminifera; nutrient; Southern Ocean; Antarctic Circumpolar Current; fronts</t>
  </si>
  <si>
    <t>OMAN</t>
  </si>
  <si>
    <t>Twenty five surface sediment samples (comprising Peterson Grab, Piston, Gravity and Spade core top samples) were collected along a north-south transect (between 9.69 degrees N and 55.01 degrees S latitude and 80 degrees E and 40 degrees E longitude). On the basis of overall size, the total planktonic population has been divided into two groups (&gt; 120 mu m sized population and &lt; 120 mu m sized population). The results show an apparent interrelationship between shell size and variations in hydrographic conditions such as food availability/nutrition (phosphate) of ambient water masses. It is apparent that nutrients play a significant role in determining the size of the foraminiferal population and an increase in the nutrient supply is conducive for the growth of the planktonic population.</t>
  </si>
  <si>
    <t>Natl Ctr Antarctic &amp; Ocean Res, Minist Earth Sci, Vasco da Gama 403804, Goa, India</t>
  </si>
  <si>
    <t>Khare, N (corresponding author), Natl Ctr Antarctic &amp; Ocean Res, Minist Earth Sci, Headland Sada, Vasco da Gama 403804, Goa, India.</t>
  </si>
  <si>
    <t>NATL INST SCIENCE COMMUNICATION-NISCAIR</t>
  </si>
  <si>
    <t>NEW DELHI</t>
  </si>
  <si>
    <t>DR K S KRISHNAN MARG, PUSA CAMPUS, NEW DELHI 110 012, INDIA</t>
  </si>
  <si>
    <t>0379-5136</t>
  </si>
  <si>
    <t>0975-1033</t>
  </si>
  <si>
    <t>INDIAN J MAR SCI</t>
  </si>
  <si>
    <t>Indian J. Mar. Sci.</t>
  </si>
  <si>
    <t>106PE</t>
  </si>
  <si>
    <t>WOS:000242112200005</t>
  </si>
  <si>
    <t>Federico, L; Capponi, G; Crispini, L</t>
  </si>
  <si>
    <t>Federico, Laura; Capponi, Giovanni; Crispini, Laura</t>
  </si>
  <si>
    <t>The Ross orogeny of the transantarctic mountains: a northern Victoria Land perspective</t>
  </si>
  <si>
    <t>INTERNATIONAL JOURNAL OF EARTH SCIENCES</t>
  </si>
  <si>
    <t>back-arc; Cambro-ordovician; Ross orogeny; Northern Victoria Land; Antarctica</t>
  </si>
  <si>
    <t>LANTERMAN RANGE; TECTONIC EVOLUTION; PACIFIC MARGIN; ACTIVE MARGIN; ANTARCTICA; GONDWANA; AUSTRALIA; AGES; GRANITOIDS; SUBDUCTION</t>
  </si>
  <si>
    <t>Northern Victoria Land (Antarctica) is made up of three terranes of Cambrian-Ordovician rocks: the Wilson (WT), Bowers (BT) and Robertson Bay terranes (RBT). The WT comprises a low- to high-grade metasedimentary sequence intruded by calc-alkaline plutons with magmatic arc affinity; the BT is composed of low-grade metavolcanic and metasedimentary rocks usually interpreted as an intra-oceanic arc; the RBT is a very low-grade flysch-like sequence. Terrane juxtaposition has traditionally been attributed to accretion during the Cambro-ordovician Ross orogeny. We propose a new model in which the WT, BT and RBT are interpreted as an arc/back-arc/trench system, developed in the context of a SW-dipping subduction zone. The subducting plate carried a continent originally located outboard of the turbidite fan of the RBT. Collision between this continent and the East Antarctic craton caused partial subduction of the intervening back-arc basin and, ultimately, the end of Ross-orogenic subduction. The turbidite fan of the RBT originally sedimented above the trench and on the subducting oceanic plate; due to collision it was thrusted on the continent, that constitutes, at least in part, the present basement of the RBT turbidite. The eastern portions of this continental mass were later dissected by the tensile tectonics related to the opening of the of the Southern Ocean.</t>
  </si>
  <si>
    <t>Univ Genoa, Dipartimento Studio Terr &amp; Sue Risorse, I-16132 Genoa, Italy</t>
  </si>
  <si>
    <t>Federico, L (corresponding author), Univ Genoa, Dipartimento Studio Terr &amp; Sue Risorse, Cso Europa 26, I-16132 Genoa, Italy.</t>
  </si>
  <si>
    <t>federico@dipteris.unige.it</t>
  </si>
  <si>
    <t>FEDERICO, LAURA/AAF-3575-2021; Federico, Laura/AAJ-3465-2020; Crispini, Laura/N-1580-2019</t>
  </si>
  <si>
    <t>FEDERICO, LAURA/0000-0002-1994-973X; Crispini, Laura/0000-0001-5770-8569</t>
  </si>
  <si>
    <t>1437-3254</t>
  </si>
  <si>
    <t>INT J EARTH SCI</t>
  </si>
  <si>
    <t>Int. J. Earth Sci.</t>
  </si>
  <si>
    <t>10.1007/s00531-005-0063-5</t>
  </si>
  <si>
    <t>077ZR</t>
  </si>
  <si>
    <t>WOS:000240071000002</t>
  </si>
  <si>
    <t>Capelotti, PJ</t>
  </si>
  <si>
    <t>Capelotti, P. J.</t>
  </si>
  <si>
    <t>Antarctic challenges: Historical and current perspectives on Otto Nordenskjold's Antarctic expedition, 1901-1903.</t>
  </si>
  <si>
    <t>ISIS</t>
  </si>
  <si>
    <t>Penn State Univ, Abington Coll, Abington, PA 19001 USA</t>
  </si>
  <si>
    <t>Pennsylvania Commonwealth System of Higher Education (PCSHE); Pennsylvania State University</t>
  </si>
  <si>
    <t>Capelotti, PJ (corresponding author), Penn State Univ, Abington Coll, Abington Campus 1600 Woodland Rd, Abington, PA 19001 USA.</t>
  </si>
  <si>
    <t>0021-1753</t>
  </si>
  <si>
    <t>Isis</t>
  </si>
  <si>
    <t>10.1086/509981</t>
  </si>
  <si>
    <t>095LE</t>
  </si>
  <si>
    <t>WOS:000241308400037</t>
  </si>
  <si>
    <t>Izu, Y; Soeta, S; Ishikawa, H; Mogoe, T; Otani, S; Kamiya, S; Aamasaki, H; Noda, M; Saito, TR</t>
  </si>
  <si>
    <t>Izu, Y.; Soeta, S.; Ishikawa, H.; Mogoe, T.; Otani, S.; Kamiya, S.; Aamasaki, H.; Noda, M.; Saito, T. R.</t>
  </si>
  <si>
    <t>The process of the endochondral ossification in the rapidly growing long bone of antarctic minke whale, balaenoptera bonaerensis.</t>
  </si>
  <si>
    <t>JOURNAL OF BONE AND MINERAL RESEARCH</t>
  </si>
  <si>
    <t>28th Annual Meeting of the American-Society-for-Bone-and-Mineral-Research</t>
  </si>
  <si>
    <t>SEP 15-19, 2006</t>
  </si>
  <si>
    <t>Philadelphia, PA</t>
  </si>
  <si>
    <t>Tokyo Med &amp; Dent Univ, Med Res Inst, Tokyo, Japan; Nippon Vet &amp; Life Sci Univ, Tokyo, Japan; Inst Cetacean Res, Tokyo, Japan</t>
  </si>
  <si>
    <t>Tokyo Medical &amp; Dental University (TMDU); Nippon Veterinary &amp; Life Science University</t>
  </si>
  <si>
    <t>AMER SOC BONE &amp; MINERAL RES</t>
  </si>
  <si>
    <t>2025 M ST, N W, STE 800, WASHINGTON, DC 20036-3309 USA</t>
  </si>
  <si>
    <t>0884-0431</t>
  </si>
  <si>
    <t>J BONE MINER RES</t>
  </si>
  <si>
    <t>J. Bone Miner. Res.</t>
  </si>
  <si>
    <t>S336</t>
  </si>
  <si>
    <t>Endocrinology &amp; Metabolism</t>
  </si>
  <si>
    <t>089FS</t>
  </si>
  <si>
    <t>WOS:000240866302423</t>
  </si>
  <si>
    <t>Sen Gupta, A; England, MH</t>
  </si>
  <si>
    <t>Sen Gupta, Alexander; England, Matthew H.</t>
  </si>
  <si>
    <t>Coupled ocean-atmosphere-ice response to variations in the Southern Annular Mode</t>
  </si>
  <si>
    <t>SEA-SURFACE TEMPERATURE; HEMISPHERE CLIMATE-CHANGE; SYNCHRONOUS VARIABILITY; ANTARCTIC OSCILLATION; DRAKE PASSAGE; PART I; CIRCULATION; PARAMETERIZATION; DYNAMICS; SYSTEM</t>
  </si>
  <si>
    <t>The coupled ocean-atmosphere-ice response to variations in the Southern Annular Mode (SAM) is examined in the National Center for Atmospheric Research (NCAR) Community Coupled Climate Model (version 2). The model shows considerable skill in capturing the predominantly zonally symmetric SAM while regional deviations between model and observation SAM winds go a long way in explaining the generally small differences between simulated and observed SAM responses in the ocean and sea ice systems. Vacillations in the position and strength of the circumpolar winds and the ensuing variations in advection of heat and moisture result in a dynamic and thermodynamic forcing of the ocean and sea ice. Both meridional and zonal components of ocean circulation are modified through Ekman transport, which in turn leads to anomalous surface convergences and divergences that strongly affect the meridional overturning circulation and potentially the pathways of intermediate water ventilation. A heat budget analysis demonstrates a conspiring of oceanic meridional heat advection, surface heat fluxes, and changes in mixed layer depth, which acts in phase to imprint a strong circumpolar SAM signature onto sea surface temperatures (SSTs), while other oceanic processes, including vertical advection, are shown to play only a minor role in contrast to previous suggestions. Lagged correlations show that although the SAM is mainly controlled by internal atmospheric mechanisms, the thermal inertia of the ocean reimprints the SAM signature back onto surface air temperatures (SATs) on time scales longer than the initial atmospheric signal. Sea ice variability is well explained by a combination of atmospheric and oceanic dynamic and thermodynamic forcing, and by an albedo feedback mechanism that allows ice extent anomalies to persist for many months. Nonzonally symmetric components of the SAM winds, particularly in the region surrounding the Antarctic Peninsula, have important effects for other climate variables.</t>
  </si>
  <si>
    <t>Univ New S Wales, Sch Math, Ctr Environm Modelling &amp; Predict, Sydney, NSW, Australia</t>
  </si>
  <si>
    <t>Sen Gupta, A (corresponding author), Univ New S Wales, Sch Math, Ctr Environm Modelling &amp; Predict, Sydney, NSW, Australia.</t>
  </si>
  <si>
    <t>England, Matthew/A-7539-2011; Sen Gupta, Alexander/B-7995-2011</t>
  </si>
  <si>
    <t>England, Matthew/0000-0001-9696-2930; Sen Gupta, Alexander/0000-0001-5226-871X</t>
  </si>
  <si>
    <t>10.1175/JCLI3843.1</t>
  </si>
  <si>
    <t>090XI</t>
  </si>
  <si>
    <t>WOS:000240987000001</t>
  </si>
  <si>
    <t>Russell, JL; Stouffer, RJ; Dixon, KW</t>
  </si>
  <si>
    <t>Russell, Joellen L.; Stouffer, Ronald J.; Dixon, Keith W.</t>
  </si>
  <si>
    <t>Intercomparison of the Southern Ocean circulations in IPCC coupled model control simulations</t>
  </si>
  <si>
    <t>ANTARCTIC CIRCUMPOLAR CURRENT; MOMENTUM BALANCE; WORLD OCEAN; WIND STRESS; VARIABILITY; TRANSPORT</t>
  </si>
  <si>
    <t>The analyses presented here focus on the Southern Ocean as simulated in a set of global coupled climate model control experiments conducted by several international climate modeling groups. Dominated by the Antarctic Circumpolar Current (ACC), the vast Southern Ocean can influence large-scale surface climate features on various time scales. Its climatic relevance stems in part from it being the region where most of the transformation of the World Ocean's water masses occurs. In climate change experiments that simulate greenhouse gas-induced warming, Southern Ocean air-sea heat fluxes and three-dimensional circulation patterns make it a region where much of the future oceanic heat storage takes place, though the magnitude of that heat storage is one of the larger sources of uncertainty associated with the transient climate response in such model projections. Factors such as the Southern Ocean's wind forcing, heat, and salt budgets are linked to the structure and transport of the ACC in ways that have not been expressed clearly in the literature. These links are explored here in a coupled model context by analyzing a sizable suite of preindustrial control experiments associated with the forthcoming Intergovernmental Panel on Climate Change's Fourth Assessment Report. A framework is developed that uses measures of coupled model simulation characteristics, primarily those related to the Southern Ocean wind forcing and water mass properties, to allow one to categorize, and to some extent predict, which models do better or worse at simulating the Southern Ocean and why. Hopefully, this framework will also lead to increased understanding of the ocean's response to climate changes.</t>
  </si>
  <si>
    <t>Princeton Univ, Princeton, NJ 08544 USA; NOAA, GFDL, Princeton, NJ USA</t>
  </si>
  <si>
    <t>Princeton University; National Oceanic Atmospheric Admin (NOAA) - USA</t>
  </si>
  <si>
    <t>Russell, JL (corresponding author), Univ Arizona, Dept Geosci, 1040 E 4th St, Tucson, AZ 85721 USA.</t>
  </si>
  <si>
    <t>jrussell@geo.arizona.edu</t>
  </si>
  <si>
    <t>; Dixon, Keith/L-7120-2015</t>
  </si>
  <si>
    <t>Russell, Joellen/0000-0001-9937-6056; Dixon, Keith/0000-0003-3044-326X</t>
  </si>
  <si>
    <t>10.1175/JCLI3869.1</t>
  </si>
  <si>
    <t>WOS:000240987000006</t>
  </si>
  <si>
    <t>Can the chemistry of otolith nuclei determine population structure of Patagonian toothfish Dissostichus eleginoides?</t>
  </si>
  <si>
    <t>JOURNAL OF FISH BIOLOGY</t>
  </si>
  <si>
    <t>Antarctic; laser ICP-MS; longline fishery; Southern Ocean; stock structure</t>
  </si>
  <si>
    <t>TRACE-ELEMENT ANALYSIS; STOCK IDENTIFICATION; MARINE FISH; ATLANTIC; STRONTIUM; HABITATS; SEA; AGE</t>
  </si>
  <si>
    <t>Otolith nucleus chemistry resolved the population structure of Patagonian toothfish Dissostichus eleginoides, an exclusively marine species, along the Patagonian Shelf and North Scotia Ridge out to South Georgia in the Southern Ocean. Concentrations of Mn-55, Sr-88 and Ba-137, ratioed to Ca-42, showed a sharp population boundary in the vicinity of the Polar Front, between South Georgia and the North Scotia Ridge. These results validated otolith nucleus chemistry as a technique for examining population structure in Patagonian toothfish, demonstrating that otolith nucleus chemistry can discriminate between populations even in fully marine environments. Moreover, the nucleus chemistry indicated population heterogeneity not previously detected, suggesting the possibility of more than one South American population, and also suggested some South American-caught fish had moved from South Georgia. (c) 2006 The Fisheries Society of the British Isles.</t>
  </si>
  <si>
    <t>Old Dominion Univ, Ctr Quantitiat Fisheries Ecol, Norfolk, VA 23508 USA; Falkland Islands Govt, Fisheries Dept, Stanley, Falkland Isl, England</t>
  </si>
  <si>
    <t>Ashford, JR (corresponding author), Old Dominion Univ, Ctr Quantitiat Fisheries Ecol, 800 W 46th St, Norfolk, VA 23508 USA.</t>
  </si>
  <si>
    <t>0022-1112</t>
  </si>
  <si>
    <t>1095-8649</t>
  </si>
  <si>
    <t>J FISH BIOL</t>
  </si>
  <si>
    <t>J. Fish Biol.</t>
  </si>
  <si>
    <t>10.1111/j.1095-8649.2006.01144.x</t>
  </si>
  <si>
    <t>074FA</t>
  </si>
  <si>
    <t>WOS:000239796900006</t>
  </si>
  <si>
    <t>Ravikant, V</t>
  </si>
  <si>
    <t>Ravikant, V.</t>
  </si>
  <si>
    <t>Sm-Nd isotopic evidence for Late Mesoproterozoic metamorphic relics in the East African Orogen from the Schirmacher Oasis, East Antarctica</t>
  </si>
  <si>
    <t>JOURNAL OF GEOLOGY</t>
  </si>
  <si>
    <t>DRONNING-MAUD-LAND; U-PB; SRI-LANKA; MOZAMBIQUE BELT; RB-SR; GRADE; AGE; GRANULITES; GARNETS; CONSTRAINTS</t>
  </si>
  <si>
    <t>Chronology of early metamorphic events preserved as relics in the Late Neoproterozoic-Cambrian Orogen in Dronning Maud Land, East Antarctica, are important to refine models that aim to reconstruct Gondwana and constrain earlier Mesoproterozoic continental configurations. In the nunatak Veteheia, south of the Schirmacher Oasis, near-anhydrous metamorphosed noritic boudins within metapelitic granulite preserve an early medium-pressure (similar to 8 kbar, 800 degrees C) granulite facies assemblage. The retrograde PT segment of the dominant superposed tectonometamorphic cycle in granulites from the Schirmacher Oasis shows an early stage of near-isothermal decompression, followed by a near-isobaric cooling within the field of sillimanite stability. Two boudinaged metanoritic dykes preserving partially broken down garnet porphyroblasts with decompression-cooling-related textures were sampled and dated by the Sm-Nd and Rb-Sr isotopic methods. Leucocratic noritic anorthosite boudin yields a whole-rock garnet Sm-Nd isochron age of 991 +/- 13 Ma (2 sigma) and an initial Nd isotopic ratio of 0.51150 +/- 0.00005, whereas a melanocratic metanorite dyke yields a whole-rock garnet Sm-Nd isochron age of 975 +/- 19 Ma (2 sigma) and an initial Nd isotopic ratio of 0.51187 +/- 0.00006. In contrast, their disturbed Rb-Sr whole-rock garnet ages indicate a later metasomatic event affecting the metanoritic boudins. The similar to 1.0-Ga date determined for the porphyroblastic garnet is interpreted as being close to their time of formation; these deformed dykes now occur as relics within rocks forming the Late Neoproterozoic-Cambrian East African Orogen. The partial to complete garnet breakdown textures from these dykes and from other granulite facies enclaves in the Schirmacher Oasis are due to the intense reworking and reactivation of these high-grade rocks during the overprinting event(s) recorded in granulites of the Schirmacher Oasis between similar to 630 and 520 Ma. These similar to 1.0-Ga granulite facies metamorphic relics, in conjunction with other geological and paleomagnetic data, can be used to support a revised paleoposition where the Kalahari-Dronning Maud Land is connected with Western Australia rather than to an East Antarctic craton, in a recently proposed fit of the supercontinent Rodinia during Late Mesoproterozoic time.</t>
  </si>
  <si>
    <t>Geol Survey India, Geochronol &amp; Isotope Geol Div, Kolkata 700016, W Bengal, India; Dept Ocean Dev, New Delhi, India</t>
  </si>
  <si>
    <t>Geological Survey India</t>
  </si>
  <si>
    <t>Ravikant, V (corresponding author), Geol Survey India, Geochronol &amp; Isotope Geol Div, 15 A&amp;B Kyd St, Kolkata 700016, W Bengal, India.</t>
  </si>
  <si>
    <t>vravi63@yahoo.com</t>
  </si>
  <si>
    <t>0022-1376</t>
  </si>
  <si>
    <t>1537-5269</t>
  </si>
  <si>
    <t>J GEOL</t>
  </si>
  <si>
    <t>J. Geol.</t>
  </si>
  <si>
    <t>10.1086/506163</t>
  </si>
  <si>
    <t>074SI</t>
  </si>
  <si>
    <t>WOS:000239831700006</t>
  </si>
  <si>
    <t>Chouaib, N; Stoehr, F; Provost, C</t>
  </si>
  <si>
    <t>Chouaib, Nadine; Stoehr, Felix; Provost, Christine</t>
  </si>
  <si>
    <t>Variability of the Subantarctic and Polar Fronts in the Drake Passage as deduced from altimetry</t>
  </si>
  <si>
    <t>CIRCUMPOLAR CURRENT; VOLUME TRANSPORT; OCEAN; TOPEX/POSEIDON; ATLANTIC; PACIFIC; HEIGHT; WIND; FLOW</t>
  </si>
  <si>
    <t>The magnitude and time variability of the total volume transport of the Antarctic Circumpolar Current through Drake Passage is a key climatic index, yet still uncertain. We processed ten years of TOPEX/Poseidon data along two adjacent descending tracks in Drake Passage assuming (following Gille, 1994) that the surface current velocity has a profile structure of double Gaussian jets corresponding respectively to the Subantarctic Front (SAF) and the Polar Front (PF). We seek the location, width and intensity of each jet as a function of time. Results from the two tracks are coherent and show that the time evolution of the flows is well constrained, although the absolute magnitude of the flow is not. Robust conclusions can be drawn using correlations between parameters and spectral analysis of their time evolution. The two front locations are positively correlated (0.68). When the SAF is farther south, it is also wider and has a larger Surface transport. When the PF is farther south, it narrows with a smaller surface transport. The two widths are significantly negatively correlated (-0.58) and the maximum velocities are independent (0.08). The surface transports associated with the SAF and PF are strongly anti-correlated (-0.98) so that the variance of total surface transport is much smaller than the variance of the surface transport of each individual front. Spectral peaks for SAF and PF surface transports are, in order of decreasing amplitude, less than 4 months, semi-annual, 2.6 years and annual. The total surface transport variations are distributed into two broad bands (less than 4 months-the most energetic-and from 0.5 to 3 years).</t>
  </si>
  <si>
    <t>Univ Paris 06, LOCEAN, CNRS, F-75252 Paris 05, France</t>
  </si>
  <si>
    <t>Museum National d'Histoire Naturelle (MNHN); Centre National de la Recherche Scientifique (CNRS); Sorbonne Universite</t>
  </si>
  <si>
    <t>Chouaib, N (corresponding author), Univ Paris 06, LOCEAN, CNRS, 4 Pl Jussieu, F-75252 Paris 05, France.</t>
  </si>
  <si>
    <t>Nadine.Chouaib@locean-ipsl.upmc.fr</t>
  </si>
  <si>
    <t>Provost, Christine/0000-0003-4693-3685</t>
  </si>
  <si>
    <t>10.1357/002224006779367276</t>
  </si>
  <si>
    <t>124LV</t>
  </si>
  <si>
    <t>WOS:000243370200002</t>
  </si>
  <si>
    <t>Jackson, L; Hughes, CW; Williams, RG</t>
  </si>
  <si>
    <t>Jackson, Laura; Hughes, Chris W.; Williams, Richard G.</t>
  </si>
  <si>
    <t>Topographic control of basin and channel flows: The role of bottom pressure torques and friction</t>
  </si>
  <si>
    <t>ANTARCTIC CIRCUMPOLAR CURRENT; POTENTIAL VORTICITY; SOUTHERN-OCEAN; CIRCULATION; MODEL; BALANCE; EDDIES</t>
  </si>
  <si>
    <t>The topographical control of western boundary currents within a basin and zonal jets in a channel is investigated in terms of the potential vorticity (PV) and barotropic vorticity (BV: the curl of the depth-integrated velocity) budgets using isopycnic, adiabatic wind-driven experiments. Along the western boundary, the wind-driven transport is returned across latitude lines by the bottom pressure torque, while friction is only important in altering the PV within an isopycnic layer and in allowing a closed circulation. These contrasting balances constrain the geometry of the flow through integral relationships for the BV and PV. For both homogenous and stratified basins with sloping sidewalls, the northward subtropical jet separates from the western wall and has opposing frictional torques on either side of the jet, which cancel in a zonal integral for BV but alter the PV within a layer streamline. In a channel with partial topographic barriers, the bottom pressure torque is again important in returning wind-driven flows along western boundaries and in transferring BV from neighboring wind-driven gyres into a zonal jet. The depth-integrated flow steered by topography controls where the bottom friction alters the PV, which can lead to different PV states being attained for separate subbasins along a channel.</t>
  </si>
  <si>
    <t>Univ Liverpool, Dept Earth &amp; Ocean Sci, Liverpool L69 3GP, Merseyside, England; Proudman Oceanog Lab, Liverpool, Merseyside, England</t>
  </si>
  <si>
    <t>University of Liverpool; NERC National Oceanography Centre</t>
  </si>
  <si>
    <t>Williams, RG (corresponding author), Univ Liverpool, Dept Earth &amp; Ocean Sci, Liverpool L69 3GP, Merseyside, England.</t>
  </si>
  <si>
    <t>ric@liv.ac.uk</t>
  </si>
  <si>
    <t>Jackson, Laura/J-6159-2013; Hughes, Chris/GQP-7479-2022; Hughes, Chris W/A-3791-2010; Williams, Richard G/K-4111-2016</t>
  </si>
  <si>
    <t>Hughes, Chris W/0000-0002-9355-0233; Williams, Richard G/0000-0002-3180-7558</t>
  </si>
  <si>
    <t>10.1175/JPO2936.1</t>
  </si>
  <si>
    <t>091PO</t>
  </si>
  <si>
    <t>WOS:000241041000007</t>
  </si>
  <si>
    <t>Marshall, J; Shuckburgh, E; Jones, H; Hill, C</t>
  </si>
  <si>
    <t>Marshall, John; Shuckburgh, Emily; Jones, Helen; Hill, Chris</t>
  </si>
  <si>
    <t>Estimates and implications of surface eddy diffusivity in the Southern Ocean derived from tracer transport</t>
  </si>
  <si>
    <t>ANTARCTIC CIRCUMPOLAR CURRENT; CIRCULATION; MODEL; EDDIES; INSTABILITY; DYNAMICS; BARRIER; FLUID; HEAT; EDGE</t>
  </si>
  <si>
    <t>Near-surface effective diffusivities associated with geostrophic eddies in the Southern Ocean are estimated by numerically monitoring the lengthening of idealized tracer contours as they are strained by surface geostrophic flow observed by satellite altimetry. The resulting surface diffusivities show considerable spatial variability and are large (2000 m(2) s(-1)) on the equatorward flank of the Antarctic Circumpolar Current and are small (500 m(2) s(-1)) at the jet axis. Regions of high and low effective diffusivity are shown to be collocated with regions of, respectively, weak and strong isentropic potential vorticity gradients. The maps of diffusivity are used, along with climatological estimates of surface wind stress and air-sea buoyancy flux, to estimate surface meridional residual flows and the relative importance of Eulerian and eddy-induced circulation in the streamwise-averaged dynamics of the Antarctic Circumpolar Current.</t>
  </si>
  <si>
    <t>MIT, Dept Earth Atmospher &amp; Planetary Sci, Cambridge, MA 02139 USA; Univ Cambridge, Dept Appl Math &amp; Theoret Phys, Cambridge CB3 9EW, England</t>
  </si>
  <si>
    <t>Massachusetts Institute of Technology (MIT); University of Cambridge</t>
  </si>
  <si>
    <t>Marshall, J (corresponding author), MIT, Dept Earth Atmospher &amp; Planetary Sci, Room 54-1526, Cambridge, MA 02139 USA.</t>
  </si>
  <si>
    <t>jmarsh@mit.edu</t>
  </si>
  <si>
    <t>Jones, Helen/C-6798-2013</t>
  </si>
  <si>
    <t>Shuckburgh, Emily/0000-0001-9206-3444</t>
  </si>
  <si>
    <t>10.1175/JPO2949.1</t>
  </si>
  <si>
    <t>WOS:000241041000008</t>
  </si>
  <si>
    <t>Hunt, BPV; Hosie, GW</t>
  </si>
  <si>
    <t>Hunt, Brian P. V.; Hosie, Graham W.</t>
  </si>
  <si>
    <t>Continuous Plankton Recorder flow rates revisited: clogging, ship speed and flow meter design</t>
  </si>
  <si>
    <t>FILTRATION EFFICIENCY; SOUTHERN-OCEAN; ZOOPLANKTON; CPR; CONSISTENCY</t>
  </si>
  <si>
    <t>The factors affecting the volume of water filtered by a Type II Mark III Continuous Plankton Recorder (CPR) were investigated in eastern Antarctica in February/March 2003. Three tows were conducted, one each using 270-, 224- and 125-mu m nylon mesh. Volume-filtered was measured at similar to 3-s intervals with a Valeport electromagnetic flow meter, while ship speed, photosynthetically active radiation (PAR) and fluorescence were measured every minute. Substantial variation in measured volume filtered (MVF) was recorded on each transect. Ship speed was positively correlated with MVF and caused up to 30% reductions in MVF while clogging, predominantly by phytoplankton, resulted in up to 60% reductions in MVF. A maximum 78% reduction in MVF resulted from the combined effects of clogging and ship speed. The substantial impact of clogging on observed zooplankton densities highlights the need for flow meter measurements to quantify CPR data. However, observations from this study show that the CPR flow meter currently in use may itself have caused the positive correlation between MVF and ship speed, indicating the need for improved flow meter design. Continuing miniaturization and improved resolution of distance loggers for attachment to marine vertebrate predators holds promise in this area.</t>
  </si>
  <si>
    <t>Univ British Columbia, Dept Earth &amp; Ocean Sci, Vancouver, BC V6T 124, Canada; Australian Antarctic Div, Kingston, Tas 7050, Australia</t>
  </si>
  <si>
    <t>University of British Columbia; Australian Antarctic Division</t>
  </si>
  <si>
    <t>Hunt, BPV (corresponding author), Univ British Columbia, Dept Earth &amp; Ocean Sci, 6339 Stores Rd, Vancouver, BC V6T 124, Canada.</t>
  </si>
  <si>
    <t>bhunt@eos.ubc.ca</t>
  </si>
  <si>
    <t>10.1093/plankt/fbl020</t>
  </si>
  <si>
    <t>085UL</t>
  </si>
  <si>
    <t>WOS:000240629800005</t>
  </si>
  <si>
    <t>Le Quéré, C</t>
  </si>
  <si>
    <t>Le Quere, Corinne</t>
  </si>
  <si>
    <t>Reply to Horizons Article 'Plankton functional type modelling:: running before we can walk' Anderson (2005):: I.: Abrupt changes in marine ecosystems?</t>
  </si>
  <si>
    <t>OCEAN</t>
  </si>
  <si>
    <t>Univ E Anglia, Sch Environm Sci, Norwich NR4 7TJ, Norfolk, England; British Antarctic Survey, Cambridge CB3 0ET, England</t>
  </si>
  <si>
    <t>University of East Anglia; UK Research &amp; Innovation (UKRI); Natural Environment Research Council (NERC); NERC British Antarctic Survey</t>
  </si>
  <si>
    <t>Le Quéré, C (corresponding author), Univ E Anglia, Sch Environm Sci, Norwich NR4 7TJ, Norfolk, England.</t>
  </si>
  <si>
    <t>c.lequere@uea.ac.uk</t>
  </si>
  <si>
    <t>Le Quéré, Corinne/C-2631-2017</t>
  </si>
  <si>
    <t>Le Quéré, Corinne/0000-0003-2319-0452</t>
  </si>
  <si>
    <t>Natural Environment Research Council [NE/C516079/1] Funding Source: researchfish</t>
  </si>
  <si>
    <t>10.1093/plankt/fbl014</t>
  </si>
  <si>
    <t>WOS:000240629800007</t>
  </si>
  <si>
    <t>Saunders, NFW; Ng, C; Raftery, M; Guilhaus, M; Goodchild, A; Cavicchioli, R</t>
  </si>
  <si>
    <t>Saunders, Neil F. W.; Ng, Charmaine; Raftery, Mark; Guilhaus, Michael; Goodchild, Amber; Cavicchioli, Ricardo</t>
  </si>
  <si>
    <t>Proteomic and computational analysis of secreted proteins with type 1 signal peptides from the antarctic archaeon Methanococcoides burtonii</t>
  </si>
  <si>
    <t>JOURNAL OF PROTEOME RESEARCH</t>
  </si>
  <si>
    <t>LC-MS/MS; secretion; supernatant fraction; type 1 signal peptides; archaea; cold adaptation; psychrophile; protease; S-layer protein; SignaIP</t>
  </si>
  <si>
    <t>COLD ADAPTATION; MEMBRANE; DISAGGREGATASE; TRANSLOCATION; PREDICTION; EVOLUTION; SEQUENCE; DOMAINS; FAMILY</t>
  </si>
  <si>
    <t>LC-MS/MS was used to identify secreted proteins in the Antarctic archaeon Methanococcoides burtonii. Seven proteins possessing a classical class 1 signal peptide were identified in the supernatant from cultures grown at 4 and 23 C. The proteins included a putative S-layer cell surface protein, cell surface protein involved with cell adhesion, and trypsin-like serine protease. Protease activity was detected in the secreted fraction, and the signal peptide cleavage site of the protease was confirmed using Edman sequencing. The expression profile of putative cell surface proteins suggests a requirement for cell interactions during growth at low temperature. Sequences of the secreted proteins were used to compile a dataset containing a further 32 predicted secreted proteins from the Methanosarcinaceae. Many of these proteins were also S-layer cell surface proteins with a variety of predicted roles, particularly in cell-cell interaction. Computational analysis of signal peptides revealed a preference for lysine in the n-region, leucine in the h-region, and a eucaryal-type cleavage site, highlighting the mosaic nature of signal peptides in Archaea. This is the first study to experimentally characterize secreted proteins from a cold-adapted archaeon and provides new insight and a functional dataset for studying secretion in Archaea.</t>
  </si>
  <si>
    <t>Univ New S Wales, Sch Biotechnol &amp; Biomol Sci, Sydney, NSW 2052, Australia; Univ New S Wales, Bioanalyt Mass Spect Facil, Sydney, NSW 2052, Australia; Johnson &amp; Johnson Res, Eveleigh, NSW 1430, Australia</t>
  </si>
  <si>
    <t>University of New South Wales Sydney; University of New South Wales Sydney; Johnson &amp; Johnson</t>
  </si>
  <si>
    <t>Saunders, Neil FW/B-5325-2010; Cavicchioli, Ricardo/D-4341-2013</t>
  </si>
  <si>
    <t>Saunders, Neil/0000-0003-2139-6107; Cavicchioli, Ricardo/0000-0001-8989-6402; Ng, Charmaine/0000-0003-3026-0009</t>
  </si>
  <si>
    <t>1535-3893</t>
  </si>
  <si>
    <t>1535-3907</t>
  </si>
  <si>
    <t>J PROTEOME RES</t>
  </si>
  <si>
    <t>J. Proteome Res.</t>
  </si>
  <si>
    <t>10.1021/pr060220x</t>
  </si>
  <si>
    <t>Biochemical Research Methods</t>
  </si>
  <si>
    <t>079TL</t>
  </si>
  <si>
    <t>WOS:000240200700044</t>
  </si>
  <si>
    <t>Nivia, A; Marriner, GF; Kerr, AC; Tarney, J</t>
  </si>
  <si>
    <t>Nivia, Alvaro; Marriner, Giselle F.; Kerr, Andrew C.; Tarney, John</t>
  </si>
  <si>
    <t>The Quebradagrande Complex: A Lower Cretaceous ensialic marginal basin in the Central Cordillera of the Colombian Andes</t>
  </si>
  <si>
    <t>JOURNAL OF SOUTH AMERICAN EARTH SCIENCES</t>
  </si>
  <si>
    <t>8th Simposio Bolivariano of Petroleum Exploration in the Subandean Basins</t>
  </si>
  <si>
    <t>Cartagena, SPAIN</t>
  </si>
  <si>
    <t>continental active margin; back arc basin; extensional tectonics; ophiolitic complexes</t>
  </si>
  <si>
    <t>VOLCANIC-ROCKS; WESTERN CORDILLERA; OCEAN-FLOOR; ANTARCTIC PENINSULA; CHILEAN OPHIOLITES; SOUTHERN ANDES; GEOCHEMISTRY; METAMORPHISM; HISTORY</t>
  </si>
  <si>
    <t>The Quebradagrande Complex of Western Colombia consists of volcanic and Albian-Aptian sedimentary rocks of oceanic affinity and outcrops in a highly deformed zone where spatial relationships are difficult to unravel. Berriasian-Aptian sediments that display continental to shallow marine sedimentary facies and mafic and ultramafic plutonic rocks are associated with the Quebradagrande Complex. Geochemically, the basalts and andesites of the Quebradagrande Complex mostly display calc-alkaline affinities, are enriched in large-ion lithophile elements relative to high field strength elements, and thus are typical of volcanic rocks generated in supra-subduction zone mantle wedges. The Quebradagrande Complex parallels the western margin of the Colombian Andes' Central Cordillera, forming a narrow, discontinuous strip fault-bounded on both sides by metamorphic rocks. The age of the metamorphic rocks east of the Quebradagrande Complex is well established as Neoproterozoic. However, the age of the metamorphics to the west - the Arquia Complex - is poorly constrained; they may have formed during either the Neoproterozoic or Lower Cretaceous. A Neoproterozoic age for the Arquia Complex is favored by both its close proximity to sedimentary rocks mapped as Paleozoic and its intrusion by Triassic plutons. Thus, the Quebradagrande Complex could represent an intracratonic marginal basin produced by spreading-subsidence, where the progressive thinning of the lithosphere generated gradually deeper sedimentary environments, eventually resulting in the generation of oceanic crust. This phenomenon was common in the Peruvian and Chilean Andes during the Uppermost Jurassic and Lower Cretaceous. The marginal basin was trapped during the collision of the Caribbean-Colombian Cretaceous oceanic plateau, which accreted west of the Arquia Complex in the Early Eocene. Differences in the geochemical characteristics of basalts of the oceanic plateau and those of the Quebradagrande Complex indicate these units were generated in very different tectonic settings. (c) 2006 Elsevier Ltd. All rights reserved.</t>
  </si>
  <si>
    <t>Inst Colombiano Geol &amp; Mineria, INGEOMINAS, Unidad Operat Cali, Cali, Colombia; Univ London Royal Holloway &amp; Bedford New Coll, Dept Geol, Egham TW20 0EX, Surrey, England; Cardiff Univ, Sch Earth Ocean &amp; Planetary Sci, Cardiff CF1 3YE, Wales; Univ Leicester, Dept Geol, Leicester LE1 7RH, Leics, England</t>
  </si>
  <si>
    <t>University of London; Royal Holloway University London; Cardiff University; University of Leicester</t>
  </si>
  <si>
    <t>Nivia, A (corresponding author), Inst Colombiano Geol &amp; Mineria, INGEOMINAS, Unidad Operat Cali, AA 9724, Cali, Colombia.</t>
  </si>
  <si>
    <t>anivia@ingeominas.gov.co</t>
  </si>
  <si>
    <t>Kerr, Andrew C/A-1206-2008</t>
  </si>
  <si>
    <t>Kerr, Andrew C/0000-0001-5569-4730</t>
  </si>
  <si>
    <t>0895-9811</t>
  </si>
  <si>
    <t>J S AM EARTH SCI</t>
  </si>
  <si>
    <t>J. South Am. Earth Sci.</t>
  </si>
  <si>
    <t>10.1016/j.jsames.2006.07.002</t>
  </si>
  <si>
    <t>109RV</t>
  </si>
  <si>
    <t>WOS:000242327200008</t>
  </si>
  <si>
    <t>Szuberla, CAL; Arnoult, KM; Olson, JV</t>
  </si>
  <si>
    <t>Szuberla, Curt A. L.; Arnoult, Kenneth M.; Olson, John V.</t>
  </si>
  <si>
    <t>Discrimination of near-field infrasound sources based on time-difference of arrival information</t>
  </si>
  <si>
    <t>JOURNAL OF THE ACOUSTICAL SOCIETY OF AMERICA</t>
  </si>
  <si>
    <t>A computationally efficient method for discriminating between near- and far-field infrasound sources using array time-difference of arrival (TDOA) information is described. Rather than assess wave-front curvature, the discriminant quantifies the statistical departure of TDOA information from that of a plane wave passing the array. Since the method constrains neither the functional form nor the amplitude characteristics of a signal it is suited for discrimination of signals across large-aperture infrasound arrays. Experimental results confirm theoretical predictions to a range of order ten array apertures. The discriminant is applied to data from an Antarctic infrasound array. (c) 2006 Acoustical Society of America.</t>
  </si>
  <si>
    <t>Univ Alaska Fairbanks, Inst Geophys, Fairbanks, AK 99775 USA</t>
  </si>
  <si>
    <t>University of Alaska System; University of Alaska Fairbanks</t>
  </si>
  <si>
    <t>Szuberla, CAL (corresponding author), Univ Alaska Fairbanks, Inst Geophys, Fairbanks, AK 99775 USA.</t>
  </si>
  <si>
    <t>cas@gi.alaska.edu</t>
  </si>
  <si>
    <t>ACOUSTICAL SOC AMER AMER INST PHYSICS</t>
  </si>
  <si>
    <t>STE 1 NO 1, 2 HUNTINGTON QUADRANGLE, MELVILLE, NY 11747-4502 USA</t>
  </si>
  <si>
    <t>0001-4966</t>
  </si>
  <si>
    <t>1520-8524</t>
  </si>
  <si>
    <t>J ACOUST SOC AM</t>
  </si>
  <si>
    <t>J. Acoust. Soc. Am.</t>
  </si>
  <si>
    <t>EL23</t>
  </si>
  <si>
    <t>EL28</t>
  </si>
  <si>
    <t>10.1121/1.2234517</t>
  </si>
  <si>
    <t>Acoustics; Audiology &amp; Speech-Language Pathology</t>
  </si>
  <si>
    <t>083QU</t>
  </si>
  <si>
    <t>WOS:000240474100060</t>
  </si>
  <si>
    <t>Delaney-Lehman, MJ</t>
  </si>
  <si>
    <t>Delaney-Lehman, Maureen J.</t>
  </si>
  <si>
    <t>The ice cave: A woman's adventures from the Mojave to the Antarctic.</t>
  </si>
  <si>
    <t>Lake Super State Univ Lib, Sault Ste Marie, MI USA</t>
  </si>
  <si>
    <t>Delaney-Lehman, MJ (corresponding author), Lake Super State Univ Lib, Sault Ste Marie, MI USA.</t>
  </si>
  <si>
    <t>077PF</t>
  </si>
  <si>
    <t>WOS:000240041400273</t>
  </si>
  <si>
    <t>Ju, SJ; Harvey, HR; Gómez-Gutiérrez, J; Peterson, WT</t>
  </si>
  <si>
    <t>Ju, Se-Jong; Harvey, H. Rodger; Gomez-Gutierrez, Jaime; Peterson, William T.</t>
  </si>
  <si>
    <t>The role of lipids during embryonic development of the euphausiids Euphausia pacifica and Thysanoessa spinifera</t>
  </si>
  <si>
    <t>ANTARCTIC KRILL; FATTY-ACID; SUPERBA; EGGS; CRYSTALLOROPHIAS; DENSITY</t>
  </si>
  <si>
    <t>To understand the role of lipids during early embryogenesis, major lipid classes together with individual fatty-acid and sterol composition were determined in embryos from multiple developmental stages of the euphausiids Euphausia pacifica and Thysanoessa spinifera. Average lipid content in embryos of E. pacifica and T. spinifera from the earliest stage (multicell) were 4.45 and 3.69 mu g embryo(-1), respectively. During development, the lipid content decreased at similar rates in the embryos of both species. In contrast to many crustacean eggs, phospholipids were the dominant lipid class in all embryonic stages, with decreasing concentrations seen during development. Individual fatty acids and sterols showed selective utilization during early developmental stages. The dominant fatty acids were 16:0 and 16:1 omega 7 and 20:5 omega 3, with most polyunsaturated fatty acids preferentially metabolized throughout early stages. An exception was 22:6 omega 3, which remained near constant through all stages. Cholesterol was the dominant sterol (&gt; 82% of total sterols) in embryos, with only minor changes during development. The appearance of algal sterols and fatty alcohols, including phytol, in T. spinifera embryos suggests that considerable amounts of algal lipids are directly allocated to eggs during vitellogenesis. Despite the substantial changes in lipid amount and composition during embryo development, the presence of phospholipids as the dominate lipid store acts to moderate changes in egg-sinking rate for both species until the late (early and late limb-bud) stages of development.</t>
  </si>
  <si>
    <t>Univ Maryland, Ctr Environm Sci, Chesapeake Biol Lab, Solomons, MD 20688 USA; Ctr Interdisciplinario Ciencias Marinas, Dept Plancton &amp; Ecol Marina, La Paz, Baja California, Mexico; Oregon State Univ, Hatfield Marine Sci Ctr, Natl Marine Fisheries Serv, Newport, OR 97365 USA</t>
  </si>
  <si>
    <t>University System of Maryland; University of Maryland Center for Environmental Science; National Aeronautics &amp; Space Administration (NASA); Oregon State University; National Oceanic Atmospheric Admin (NOAA) - USA</t>
  </si>
  <si>
    <t>Ju, SJ (corresponding author), Univ Maryland, Ctr Environm Sci, Chesapeake Biol Lab, Solomons, MD 20688 USA.</t>
  </si>
  <si>
    <t>sejongju@gmail.com</t>
  </si>
  <si>
    <t>Ju, Se-Jong/A-9029-2009</t>
  </si>
  <si>
    <t>10.4319/lo.2006.51.5.2398</t>
  </si>
  <si>
    <t>086LC</t>
  </si>
  <si>
    <t>WOS:000240673800042</t>
  </si>
  <si>
    <t>Schmidt, K; Atkinson, A; Petzke, KJ; Voss, M; Pond, DW</t>
  </si>
  <si>
    <t>Schmidt, Katrin; Atkinson, Angus; Petzke, Klaus-Juergen; Voss, Maren; Pond, David W.</t>
  </si>
  <si>
    <t>Protozoans as a food source for Antarctic krill, Euphausia superba:: Complementary insights from stomach content, fatty acids, and stable isotopes</t>
  </si>
  <si>
    <t>MARGINAL ICE-ZONE; TROPHIC RELATIONSHIPS; LIPID-COMPOSITION; DIGESTIVE GLAND; SOUTHERN-OCEAN; WEDDELL-SEA; COMMUNITY STRUCTURE; COASTAL WATERS; GROWTH-RATES; AMINO-ACIDS</t>
  </si>
  <si>
    <t>We studied the diet of Antarctic krill, Euphausia superba, at five stations across the southwest Atlantic sector in summer 2003 by analyzing stomach content, fatty acids, and stable isotopes on the same individuals. Our aim was to examine what each method could contribute to our understanding of krill nutrition and whether differences seen in growth rates were linked to their food. All three methods indicated clear regional differences in diet, but small ontogenetic and sex-related differences. Overall, diatoms were the most abundant item in the stomach, but at three of the stations, tintinnids, large dinoflagellates, and other armored flagellates dominated the identifiable biomass. Copepod remains were rare. Fatty acids profiles gave additional information about feeding on weakly silicified diatoms and athecate heterotrophic dinoflagellates, with the latter being the main food source at one of the stations. Two independent indices of carnivory, delta N-15 and the fatty acid ratio 18:1(n-9)/18:1(n-7), were correlated among krill from the same swarm, suggesting consistent differences in diet between individuals. An internal index of trophic position, (i.e., delta N-15(glutamic) (acid)-delta N-15(phenylalanine)) underlined the importance of heterotrophic food for the nutrition of krill, even in summer. Highest growth rates of krill were found during a diatom bloom and coincided with a mixed diet, large digestive gland, and fast stomach passage. However, even in a nonbloom, flagellate-dominated system, krill were able to sustain medium growth rates when feeding on heterotrophic dinoflagellates. Each method supplied specific information on krill nutrition, and the true picture is only revealed when the various methods are used together.</t>
  </si>
  <si>
    <t>British Antarctic Survey, NERC, Cambridge CB3 0ET, England; German Inst Human Nutr Potsdam Rehbrucke, D-14558 Nuthetal, Germany; Inst Balt Sea Res Warnemunde, D-18119 Rostock, Germany</t>
  </si>
  <si>
    <t>UK Research &amp; Innovation (UKRI); Natural Environment Research Council (NERC); NERC British Antarctic Survey; Deutsches Institut fur Ernahrungsforschung Potsdam-Rehbrucke (DIfE)</t>
  </si>
  <si>
    <t>Schmidt, K (corresponding author), British Antarctic Survey, NERC, High Cross,Madingley Rd, Cambridge CB3 0ET, England.</t>
  </si>
  <si>
    <t>kasc@bas.ac.uk</t>
  </si>
  <si>
    <t>Atkinson, Angus/HOH-3417-2023</t>
  </si>
  <si>
    <t>Voss, Maren/0000-0002-5827-9062</t>
  </si>
  <si>
    <t>10.4319/lo.2006.51.5.2409</t>
  </si>
  <si>
    <t>WOS:000240673800043</t>
  </si>
  <si>
    <t>Tokarev, YN; Vasilenko, VI; Piontkovski, SA</t>
  </si>
  <si>
    <t>Tokarev, Y. N.; Vasilenko, V. I.; Piontkovski, S. A.</t>
  </si>
  <si>
    <t>Peculiarities of the bioluminescence distribution in the Atlantic sector of the Antarctic Ocean</t>
  </si>
  <si>
    <t>LUMINESCENCE</t>
  </si>
  <si>
    <t>SUNY Stony Brook, Stony Brook, NY 11794 USA; Inst Biol So Seas, UA-99011 Sevastopol, Ukraine</t>
  </si>
  <si>
    <t>State University of New York (SUNY) System; State University of New York (SUNY) Stony Brook; Russian Academy of Sciences; AO Kovalevsky Institute of Biology of the Southern Seas of RAS (IBSS)</t>
  </si>
  <si>
    <t>Akimova, Olga/E-9462-2014; Piontkovski, Sergey/ABB-9334-2020; Tokarev, Yuriy N./N-7925-2017</t>
  </si>
  <si>
    <t>Tokarev, Yuriy N./0000-0001-7420-4303</t>
  </si>
  <si>
    <t>1522-7235</t>
  </si>
  <si>
    <t>Luminescence</t>
  </si>
  <si>
    <t>105MV</t>
  </si>
  <si>
    <t>WOS:000242035200091</t>
  </si>
  <si>
    <t>Berger, MS; Young, CM</t>
  </si>
  <si>
    <t>Berger, Michael S.; Young, Craig M.</t>
  </si>
  <si>
    <t>Physiological response of the cold-seep mussel Bathymodiolus childressi to acutely elevated temperature</t>
  </si>
  <si>
    <t>HEAT-SHOCK PROTEINS; OYSTER CRASSOSTREA-GIGAS; GULF-OF-MEXICO; MOLECULAR CHAPERONES; ANTARCTIC FISHES; GENE-EXPRESSION; TREMATOMUS-BERNACCHII; HOMARUS-AMERICANUS; MYTILUS-TROSSULUS; STRESS</t>
  </si>
  <si>
    <t>It is predicted that deep-sea animals adapted to thermally stable conditions should be highly sensitive to temperature change and should not have inducible heat-shock responses. This premise was tested with the cold-seep mussel Bathymodiolus childressi Gustafson, 1998 from 750 m depth in the Gulf of Mexico at a site known as Brine Pool NR-1 (27 degrees 43.4157N, 91 degrees 16.756W). Mussels were collected during February 2003. Site temperature, measured in different months between 1995 and 2005, ranged between 6.5 and 7.2 degrees C. Although Brine Pool NR-1 is stenothermal, hydrogen sulfide, oxygen, and salinity vary over temporal and spatial scales. In laboratory experiments, B. childressi survived increases up to approximately 20 degrees C above ambient temperature for 6 h before suffering greater than 50% mortality. Although a high thermal tolerance was observed, B. childressi did not express an inducible 70 kDa heat-shock protein. However, high constitutive levels of hsp70 were present in B. childressi suggesting a necessity to remediate protein damage from stressors other than elevated temperature; these constitutive proteins probably confer an indirect thermal tolerance.</t>
  </si>
  <si>
    <t>Univ Oregon, Oregon Inst Marine Biol, Charleston, OR 97420 USA</t>
  </si>
  <si>
    <t>Berger, MS (corresponding author), Whitely Ctr, Friday Harbor Labs, 620 Univ Rd, Friday Harbor, WA 98250 USA.</t>
  </si>
  <si>
    <t>mikeberger@bms.bc.ca</t>
  </si>
  <si>
    <t>10.1007/s00227-006-0310-8</t>
  </si>
  <si>
    <t>092QN</t>
  </si>
  <si>
    <t>WOS:000241112500012</t>
  </si>
  <si>
    <t>Buchholz, CM; Buchholz, F; Tarling, GA</t>
  </si>
  <si>
    <t>Buchholz, Cornelia M.; Buchholz, Friedrich; Tarling, Geraint A.</t>
  </si>
  <si>
    <t>On the timing of moulting processes in reproductively active Northern krill Meganyctiphanes norvegica</t>
  </si>
  <si>
    <t>EUPHAUSIA-SUPERBA; ANTARCTIC KRILL; VERTICAL MIGRATION; LARVAL KRILL; GROWTH; CYCLE; SIZE; SYNCHRONY; CRUSTACEA; BEHAVIOR</t>
  </si>
  <si>
    <t>The interactions between moult phasing, growth and environmental cues in Northern krill (Meganyctiphanes norvegica) were examined through analysing populations at seasonal, weekly, and daily timescales. The analyses were carried out on resident populations of krill found in three different neritic locations that experience similar environmental signals (the Clyde Sea, Scotland; the Kattegat, Denmark; Gullmarsfjord, Sweden). Seasonal analyses were carried out on the Clyde Sea population and showed that moulting frequency increased significantly moving from winter to summer. The proportion of moulting females in summer samples was often more than double the proportion of moulting males, suggesting that females had a comparatively shorter intermoult period (IMP). Weekly samples taken from the Kattegat showed a similar pattern. However, although the difference between the proportion of female and male moulters was significant in one week, it was not another, mainly because of the variability in the proportion of female moulters. Such variability in females was equally evident in the daily samples taken at Gullmarsfjord. It suggests that females have a shorter IMP (12.5 days) than males (18.4 days) and are more likely to moult in synchrony. Nevertheless, the daily samples revealed that males are also capable of moult synchronisation, although less frequently than females. Shortened IMPs in females were not a result of the abbreviation of specific moult stages. Accordingly, reproductive activity did not alter the course of the normal moult cycle. There was no significant difference between the total body lengths of males and females indicating that females achieve the same levels of growth despite moulting more frequently and having to provision the energy-rich ovaries. This is in contrast to most other crustaceans where the energy costs of reproduction reduce female growth. The fact that females were less abundant than males, probably by suffering a greater level of mortality, suggests that different behavioural strategies, particularly vertical migration regimes, were adopted by each sex to maximise growth and reproduction.</t>
  </si>
  <si>
    <t>Biol Anstalt Helgoland, AWI, D-27483 Helgoland, Germany; British Antarctic Survey, NERC, Cambridge CB3 0ET, England</t>
  </si>
  <si>
    <t>Helmholtz Association; Alfred Wegener Institute, Helmholtz Centre for Polar &amp; Marine Research; UK Research &amp; Innovation (UKRI); Natural Environment Research Council (NERC); NERC British Antarctic Survey</t>
  </si>
  <si>
    <t>Buchholz, CM (corresponding author), Biol Anstalt Helgoland, AWI, Meeresstn,Postfach 180, D-27483 Helgoland, Germany.</t>
  </si>
  <si>
    <t>cbuchholz@awi-bremerhaven.de</t>
  </si>
  <si>
    <t>Buchholz, Cornelia/0000-0002-5055-1586</t>
  </si>
  <si>
    <t>10.1007/s00227-006-0317-1</t>
  </si>
  <si>
    <t>WOS:000241112500017</t>
  </si>
  <si>
    <t>Kuklinski, P; Barnes, DKA; Taylor, PD</t>
  </si>
  <si>
    <t>Kuklinski, P.; Barnes, D. K. A.; Taylor, P. D.</t>
  </si>
  <si>
    <t>Latitudinal patterns of diversity and abundance in North Atlantic intertidal boulder-fields</t>
  </si>
  <si>
    <t>SPECIES RICHNESS; BENTHIC COMMUNITIES; SPATIAL-PATTERNS; BIODIVERSITY; GRADIENTS; ICE; DISTURBANCE; COMPETITION; WORLD</t>
  </si>
  <si>
    <t>In order to study taxon richness, biodiversity and abundance patterns in the North Atlantic from temperate latitudes through Arctic to high Arctic latitudes, we recorded the faunas (at ELWS level) colonizing 20 cobbles from three sites at each of seven boulder-field localities (south-west England, 50 degrees N; Wales, 51 degrees N; west Scotland, 56 degrees N; Iceland, 64 degrees N; Tromso, 70 degrees N; Svalbard, 77 degrees N, 79 degrees N). Inverse correlations were found between latitude and all measures of richness (species, orders, and phyla numbers) and biodiversity (S-W, P). However, these correlations were driven mostly by the consistently impoverished Arctic sites; an even cline of decreasing diversity from south to north did not exist. Multidimensional scaling revealed two communities, temperate-subarctic species-rich and high arctic species-poor. Evenness as measured by Pielou's index was similar across all latitudes. Abundance data exhibited a similar trend to the species richness and diversity data with a significant negative correlation with latitude, but when Arctic data were excluded the correlation vanished.</t>
  </si>
  <si>
    <t>Nat Hist Museum, London SW7 5BD, England; Polish Acad Sci, Inst Oceanol, PL-81712 Sopot, Poland; British Antarctic Survey, NERC, Cambridge CB3 0ET, England</t>
  </si>
  <si>
    <t>Natural History Museum London; Polish Academy of Sciences; Institute of Oceanology of the Polish Academy of Sciences; UK Research &amp; Innovation (UKRI); Natural Environment Research Council (NERC); NERC British Antarctic Survey</t>
  </si>
  <si>
    <t>Kuklinski, P (corresponding author), Nat Hist Museum, Cromwell Rd, London SW7 5BD, England.</t>
  </si>
  <si>
    <t>p.kuklinski@nhm.ac.uk</t>
  </si>
  <si>
    <t>Kuklinski, Piotr/0000-0002-1507-215X; Taylor, Paul/0000-0002-3127-080X</t>
  </si>
  <si>
    <t>10.1007/s00227-006-0311-7</t>
  </si>
  <si>
    <t>WOS:000241112500028</t>
  </si>
  <si>
    <t>Hofmeyr, GJG; Bester, MN; Kirkman, SP; Lydersen, C; Kovacs, KM</t>
  </si>
  <si>
    <t>Hofmeyr, G. J. Greg; Bester, Marthan N.; Kirkman, Steve P.; Lydersen, Christian; Kovacs, Kit M.</t>
  </si>
  <si>
    <t>Entanglement of Antarctic fur seals at Bouvetoya, Southern Ocean</t>
  </si>
  <si>
    <t>Antarctic fur seal; anthropogenic debris; Arctocephalus gazella; Bouvetoya; entanglement; Southern Ocean</t>
  </si>
  <si>
    <t>MAN-MADE DEBRIS; MARINE DEBRIS; NET ENTANGLEMENT; FISHING DEBRIS; BIRD ISLAND; NEW-ZEALAND; CALIFORNIA; PINNIPEDS; LIONS; ACCUMULATION</t>
  </si>
  <si>
    <t>Entanglements of Antarctic fur seals Arctocephalus gazella were recorded during four summers from 1996 to 2002 at the subantarctic island, Bouvetoya. Rates of entanglement varied between 0.024% and 0.059%. These rates are low for a pinniped population and might be because of the geographic isolation of the haulout site. An apparent decrease in the levels of entanglement over the course of the study was likely due, at least in part, to the removal of entanglements by observers. At least two-thirds of entangling materials were generated by fishery sources. Since there is no known local source of anthropogenic marine pollution, seals become entangled either in waters distant from the island, or when materials drift into local waters. Significantly more subadults were found entangled than expected from the postulated population age class distribution. (c) 2006 Elsevier Ltd. All rights reserved.</t>
  </si>
  <si>
    <t>Univ Pretoria, Dept Zool &amp; Entomol, Mammal Res Inst, ZA-0002 Pretoria, South Africa; Norwegian Polar Res Inst, Polar Environm Ctr, N-9296 Tromso, Norway</t>
  </si>
  <si>
    <t>University of Pretoria; Norwegian Polar Institute</t>
  </si>
  <si>
    <t>Hofmeyr, GJG (corresponding author), Univ Pretoria, Dept Zool &amp; Entomol, Mammal Res Inst, ZA-0002 Pretoria, South Africa.</t>
  </si>
  <si>
    <t>ghofmeyr@zoology.up.ac.za</t>
  </si>
  <si>
    <t>Bester, Marthán N/E-5387-2010; Hofmeyr, G. J. Greg/AAV-3286-2020; Kirkman, Stephen/AAA-9139-2021</t>
  </si>
  <si>
    <t>Hofmeyr, G. J. Greg/0000-0003-0283-6058; Kirkman, Stephen/0000-0001-5428-7375</t>
  </si>
  <si>
    <t>10.1016/j.marpolbul.2006.05.003</t>
  </si>
  <si>
    <t>094PW</t>
  </si>
  <si>
    <t>WOS:000241252500019</t>
  </si>
  <si>
    <t>Pearson, VK; Sephton, MA; Gilmour, I</t>
  </si>
  <si>
    <t>Pearson, V. K.; Sephton, M. A.; Gilmour, I.</t>
  </si>
  <si>
    <t>Molecular and isotopic indicators of alteration in CR chondrites</t>
  </si>
  <si>
    <t>INSOLUBLE ORGANIC-MATTER; NON-ANTARCTIC METEORITES; CARBONACEOUS-CHONDRITE; COMPOSITIONAL CLASSIFICATION; ALIPHATIC-HYDROCARBONS; DISTRIBUTION PATTERN; MURCHISON METEORITE; HYDROUS PYROLYSIS; SOLAR-SYSTEM; C-13 NMR</t>
  </si>
  <si>
    <t>The CR group of carbonaceous chondrites may represent some of the most primitive extraterrestrial materials available for analysis. However, in contrast to other chondrite groups, the CR organic fraction is poorly characterized. The carbonaceous chondrite literature shows that relatively anhydrous thermal processing results in a condensed, poorly alkylated, O-poor macromolecular material, while for aqueous processing the converse is true. Such characteristics can be used to discern the alteration histories of the carbonaceous chondrites. We have performed bulk elemental and isotopic analysis and flash pyrolysis on four CR chondrites (Renazzo, Al Rais, Elephant Moraine [EET] 87770, and Yamato [Y-] 790112) to determine the nature of their organic component. Renazzo, Al Rais, and Y-790112 release qualitatively similar pyrolysis products, although there are some variations. Al Rais' macromolecular structure contains substantially higher relative abundances of alkylated and oxidized species and relatively lighter delta N-15, suggesting that it has endured more extensive aqueous processing than the other CR chondrites. Renazzo appears relatively unprocessed, with a low degree of alkylation, a lack of detectable nitrogen-bearing components, and low methylnaphthalene ratio. EET 87770's low abundance of alkylated species suggests its macromolecular structure may be relatively condensed, with condensation potentially assisted by a period of mild thermal alteration.</t>
  </si>
  <si>
    <t>Open Univ, Planetary &amp; Space Sci Res Inst, Milton Keynes MK7 6AA, Bucks, England; Univ London Imperial Coll Sci &amp; Technol, Dept Earth Sci &amp; Engn, Impacts &amp; Astromat Res Ctr, London SW7 2AZ, England</t>
  </si>
  <si>
    <t>Open University - UK; Imperial College London; Natural History Museum London</t>
  </si>
  <si>
    <t>Pearson, VK (corresponding author), Open Univ, Planetary &amp; Space Sci Res Inst, Walton Hall, Milton Keynes MK7 6AA, Bucks, England.</t>
  </si>
  <si>
    <t>v.k.pearson@open.ac.uk</t>
  </si>
  <si>
    <t>Pearson, Victoria/0000-0003-1334-7460; Sephton, Mark/0000-0002-2190-5402; Gilmour, Iain/0000-0002-2860-9489</t>
  </si>
  <si>
    <t>10.1111/j.1945-5100.2006.tb00522.x</t>
  </si>
  <si>
    <t>086GK</t>
  </si>
  <si>
    <t>WOS:000240661600002</t>
  </si>
  <si>
    <t>Jarosewich, E</t>
  </si>
  <si>
    <t>Jarosewich, Eugene</t>
  </si>
  <si>
    <t>Chemical analyses of meteorites at the Smithsonian Institution: An update</t>
  </si>
  <si>
    <t>ELEMENTAL COMPOSITION; 433 EROS; STONY</t>
  </si>
  <si>
    <t>Thirteen new meteorites and three meteorite inclusions have been analyzed. Their results have been incorporated into earlier published data for a comprehensive reference to all analyzed meteorites at the Smithsonian Institution. The six tables facilitate a convenient overlook of meteorite data. Table 1 presents an alphabetical list of analyzed meteorites, Table 2 chemical analyses of stony meteorites, Table 3 chemical analyses of iron meteorites, Table 4 elemental composition of stony meteorites, Table 5 average composition of carbonaceous chondrites and achondrites (falls and finds), and Table 6 presents average composition of H, L, LL, and Antarctic chondrites (falls and finds). The tables are available online at the journal's Web site http://meteoritics.org.</t>
  </si>
  <si>
    <t>Smithsonian Inst, Dept Mineral Sci, Washington, DC 20560 USA</t>
  </si>
  <si>
    <t>Jarosewich, E (corresponding author), Smithsonian Inst, Dept Mineral Sci, Washington, DC 20560 USA.</t>
  </si>
  <si>
    <t>jarosewi@si.edu</t>
  </si>
  <si>
    <t>METEORITICAL SOC</t>
  </si>
  <si>
    <t>FAYETTEVILLE</t>
  </si>
  <si>
    <t>DEPT CHEMISTRY/BIOCHEMISTRY, UNIV ARKANSAS, FAYETTEVILLE, AR 72701 USA</t>
  </si>
  <si>
    <t>10.1111/j.1945-5100.2006.tb00528.x</t>
  </si>
  <si>
    <t>WOS:000240661600008</t>
  </si>
  <si>
    <t>Connolly, HC; Zipfel, J; Grossman, JN; Folco, L; Smith, C; Jones, RH; Righter, K; Zolensky, M; Russell, SS; Benedix, GK; Yamaguchi, A; Cohen, BA</t>
  </si>
  <si>
    <t>Connolly, Harold C., Jr.; Zipfel, Jutta; Grossman, Jeffrey N.; Folco, Luigi; Smith, Caroline; Jones, Rhian H.; Righter, Kevin; Zolensky, Michael; Russell, Sara S.; Benedix, Gretchen K.; Yamaguchi, Akira; Cohen, Barbara A.</t>
  </si>
  <si>
    <t>The Meteoritical Bulletin, No. 90, 2006 September</t>
  </si>
  <si>
    <t>[Connolly, Harold C., Jr.] Kingsborough Community Coll, Dept Phys Sci, Oriental Blvd, Brooklyn, NY 11235 USA; [Connolly, Harold C., Jr.] CUNY, Grad Sch, Dept Earth &amp; Environm Sci, New York, NY 10016 USA; [Connolly, Harold C., Jr.] Amer Museum Nat Hist, Dept Earth &amp; Planetary Sci, New York, NY 10024 USA; [Zipfel, Jutta] Forsch Inst &amp; Nat Museum Senckenberg, Sekt Meteoritenforsch, D-60325 Frankfurt, Germany; [Grossman, Jeffrey N.] US Geol Survey, Reston, VA 20192 USA; [Folco, Luigi] Museo Nazl Antartide, I-53100 Siena, Italy; [Smith, Caroline; Russell, Sara S.; Benedix, Gretchen K.] Nat Hist Museum, Dept Mineral, London SW7 5BD, England; [Jones, Rhian H.] Univ New Mexico, Dept Earth &amp; Planetary Sci, Albuquerque, NM 87131 USA; [Righter, Kevin; Zolensky, Michael] NASA, Johnson Space Ctr, Code ST, Houston, TX 77058 USA; [Yamaguchi, Akira] Natl Inst Polar Res, Antarctic Meteorite Res Ctr, Itabashi Ku, Tokyo 1738515, Japan; [Cohen, Barbara A.] Univ New Mexico, Inst Meteorit, Albuquerque, NM 87506 USA</t>
  </si>
  <si>
    <t>City University of New York (CUNY) System; City University of New York (CUNY) System; American Museum of Natural History (AMNH); Senckenberg Gesellschaft fur Naturforschung (SGN); United States Department of the Interior; United States Geological Survey; Natural History Museum London; University of New Mexico; National Aeronautics &amp; Space Administration (NASA); NASA Johnson Space Center; Research Organization of Information &amp; Systems (ROIS); National Institute of Polar Research (NIPR) - Japan; University of New Mexico</t>
  </si>
  <si>
    <t>Connolly, HC (corresponding author), Kingsborough Community Coll, Dept Phys Sci, Oriental Blvd, Brooklyn, NY 11235 USA.</t>
  </si>
  <si>
    <t>meteorite@kingsborough.edu</t>
  </si>
  <si>
    <t>Folco, Luigi/AAA-6351-2020; Jones, Rhian/ABI-6612-2020; Smith, Caroline/AAO-3652-2020; Folco, Luigi/AAB-8586-2021; COHEN, BARBARA/AAV-8199-2021; Benedix, Gretchen K/L-1953-2018</t>
  </si>
  <si>
    <t>Smith, Caroline/0000-0001-7005-6470;</t>
  </si>
  <si>
    <t>VC0XZ</t>
  </si>
  <si>
    <t>WOS:000427896600001</t>
  </si>
  <si>
    <t>Nadler, SA; De Ley, P; Mundo-Ocampo, M; Smythe, AB; Stock, SP; Bumbarger, D; Adams, BJ; De Ley, IT; Holovachov, O; Baldwin, JG</t>
  </si>
  <si>
    <t>Nadler, Steven A.; De Ley, Paul; Mundo-Ocampo, Manuel; Smythe, Ashleigh B.; Stock, S. Patricia; Bumbarger, Dan; Adams, Byron J.; De Ley, Irma Tandingan; Holovachov, Oleksandr; Baldwin, James G.</t>
  </si>
  <si>
    <t>Phylogeny of Cephalobina (Nematoda): Molecular evidence for recurrent evolution of probolae and incongruence with traditional classifications</t>
  </si>
  <si>
    <t>Nematoda; Cephalobina; molecular systematics; ribosomal DNA; homoplasy; probolae</t>
  </si>
  <si>
    <t>GENUS PSEUDACROBELES STEINER; N. SP NEMATODA; TAXONOMIC CHARACTERS; BUCCAL CAPSULE; ANTARCTIC SOIL; MOJAVE DESERT; RHABDITIDA; PANAGROLAIMOIDEA; NOTHACROBELES; VARIABILITY</t>
  </si>
  <si>
    <t>Nematodes of the suborder Cephalobina include an ecologically and morphologically diverse array of species that range from soil-dwelling microbivores to parasites of vertebrates and invertebrates. Despite a long history of study, certain of these microbivores (Cephaloboidea) present some of the most intractable problems in nematode systematics; the lack of an evolutionary framework for these taxa has prevented the identification of natural groups and inhibited understanding of soil biodiversity and nematode ecology. Phylogenetic analyses of ribosomal (LSU) sequence data from 53 taxa revealed strong support for monophyly of taxa representing the Cephaloboidea, but do not support the monophyly of most genera within this superfamily. Historically these genera have primarily been recognized based on variation in labial morphology, but molecular phylogenies show the same general labial (probolae) morphotype often results from recurrent similarity, a result consistent with the phenotypic plasticity of probolae previously observed for some species in ecological time. Phylogenetic analyses of LSU rDNA also recovered strong support for some other groups of cephalobs, including taxa representing most (but not all) Panagrolaimoidea. In addition to revealing homoplasy of probolae, molecular trees also imply other unexpected patterns of character evolution or polarity, including recurrent similarity of offset spermatheca presence, and representation of complex probolae as the ancestral condition within Cephaloboidea. For Cephalobidae, molecular trees do not support traditional genera as natural groups, but it remains untested if deconstructing probolae morphotypes or other structural features into finer component characters may reveal homologies that help delimit evolutionary lineages. (c) 2006 Elsevier Inc. All rights reserved.</t>
  </si>
  <si>
    <t>Univ Calif Davis, Dept Nematol, Davis, CA 95616 USA; Univ Calif Davis, Dept Nematol, Davis, CA 92521 USA; Univ Arizona, Dept Entomol, Tucson, AZ 85721 USA; Brigham Young Univ, Dept Mol Biol &amp; Microbiol, Provo, UT 84602 USA; Ivan Franko Natl Univ Lviv, Dept Zool, Fac Biol, UA-79005 Lvov, Ukraine</t>
  </si>
  <si>
    <t>University of California System; University of California Davis; University of California System; University of California Davis; University of Arizona; Brigham Young University; Ministry of Education &amp; Science of Ukraine; Ivan Franko National University Lviv</t>
  </si>
  <si>
    <t>Nadler, SA (corresponding author), Univ Calif Davis, Dept Nematol, Davis, CA 95616 USA.</t>
  </si>
  <si>
    <t>sanadler@ucdavis.edu</t>
  </si>
  <si>
    <t>; Adams, Byron/C-3808-2009</t>
  </si>
  <si>
    <t>Tandingan De Ley, Irma/0000-0002-9399-0693; Holovachov, Oleksandr/0000-0002-4285-0754; Adams, Byron/0000-0002-7815-3352</t>
  </si>
  <si>
    <t>10.1016/j.ympev.2006.04.005</t>
  </si>
  <si>
    <t>080JU</t>
  </si>
  <si>
    <t>WOS:000240244600005</t>
  </si>
  <si>
    <t>Fauchald, P; Tveraa, T</t>
  </si>
  <si>
    <t>Fauchald, Per; Tveraa, Torkild</t>
  </si>
  <si>
    <t>Hierarchical patch dynamics and animal movement pattern</t>
  </si>
  <si>
    <t>OECOLOGIA</t>
  </si>
  <si>
    <t>area-restricted search; first-passage time; hierarchical foraging; random walk; satellite telemetry</t>
  </si>
  <si>
    <t>PREDATOR-PREY INTERACTIONS; WANDERING ALBATROSSES; SPATIAL-DISTRIBUTION; MULTIPLE SCALES; SEABIRDS; KRILL; ABUNDANCE; SEARCH; VARIABILITY; STRATEGIES</t>
  </si>
  <si>
    <t>In hierarchical patch systems, small-scale patches of high density are nested within large-scale patches of low density. The organization of multiple-scale hierarchical systems makes non-random strategies for dispersal and movement particularly important. Here, we apply a new method based on first-passage time on the pathway of a foraging seabird, the Antarctic petrel (Thalassoica antarctica), to quantify its foraging pattern and the spatial dynamics of its foraging areas. Our results suggest that Antarctic petrels used a nested search strategy to track a highly dynamic hierarchical patch system where small-scale patches were congregated within patches at larger scales. The birds searched for large-scale patches by traveling fast and over long distances. Once within a large-scale patch, the birds concentrated their search to find smaller scale patches. By comparing the pathway of different birds we were able to quantify the spatial scale and turnover of their foraging areas. On the largest scale we found foraging areas with a characteristic scale of about 400 km. Nested within these areas we found foraging areas with a characteristic scale of about 100 km. The large-scale areas disappeared or moved within a time frame of weeks while the nested small-scale areas disappeared or moved within days. Antarctic krill (Euphausia superba) is the dominant food item of Antarctic petrels and we suggest that our findings reflect the spatial dynamics of krill in the area.</t>
  </si>
  <si>
    <t>Norwegian Inst Nat Res, Polar Environm Ctr, Div Arctic Ecol, N-9296 Tromso, Norway</t>
  </si>
  <si>
    <t>Norwegian Institute Nature Research</t>
  </si>
  <si>
    <t>Fauchald, P (corresponding author), Norwegian Inst Nat Res, Polar Environm Ctr, Div Arctic Ecol, N-9296 Tromso, Norway.</t>
  </si>
  <si>
    <t>per.fauchald@nina.no</t>
  </si>
  <si>
    <t>Fauchald, Per/AAV-4242-2021</t>
  </si>
  <si>
    <t>Tveraa, Torkild/0000-0002-7501-3696</t>
  </si>
  <si>
    <t>0029-8549</t>
  </si>
  <si>
    <t>1432-1939</t>
  </si>
  <si>
    <t>Oecologia</t>
  </si>
  <si>
    <t>10.1007/s00442-006-0463-7</t>
  </si>
  <si>
    <t>078LO</t>
  </si>
  <si>
    <t>WOS:000240104600002</t>
  </si>
  <si>
    <t>Nolan, L; Hogg, ID; Stevens, MI; Haase, M</t>
  </si>
  <si>
    <t>Nolan, Liam; Hogg, Ian D.; Stevens, Mark I.; Haase, Martin</t>
  </si>
  <si>
    <t>Fine scale distribution of mtDNA haplotypes for the springtail Gomphiocephalus hodgsoni (Collembola) corresponds to an ancient shoreline in Taylor Valley, continental Antarctica</t>
  </si>
  <si>
    <t>LAST GLACIAL MAXIMUM; GROUNDED ICE-SHEET; VICTORIA LAND; PHENOTYPIC ASSOCIATIONS; CLADISTIC-ANALYSIS; ROSS SEA; DNA; PHYLOGEOGRAPHY; RECONSTRUCTION; INVERTEBRATES</t>
  </si>
  <si>
    <t>We examined the fine scale distribution of the endemic Antarctic collembolan Gomphiocephalus hodgsoni in Taylor Valley, southern Victoria Land using the mitochondrial DNA cytochrome c oxidase I gene. We found an area of sympatry in the mid-region of the valley between two common haplotype groups (2.4% sequence divergence). The area of sympatry coincided with the extent of proglacial Lake Washburn (approx. 8,000 ya). This lake existed as a result of the damming of lower Taylor Valley by the grounding of the Ross Ice Sheet and may have acted as an isolating barrier to dispersal/gene flow. We suggest that the phylogenetic break occurring in the vicinity of the ancient shoreline may be the result of previous isolation of refugial allopatric populations, followed by recolonisation into a secondary contact zone during the Holocene.</t>
  </si>
  <si>
    <t>Univ Waikato, Dept Biol Sci, Hamilton, New Zealand; Massey Univ, Allan Wilson Ctr Mol Ecol &amp; Evolut, Palmerston North, New Zealand; Monash Univ, Sch Biol Sci, Clayton, Vic 3800, Australia; Museum Alexander Koenig, D-53113 Bonn, Germany</t>
  </si>
  <si>
    <t>University of Waikato; Massey University; Monash University; Zoologisches Forschungsmuseum Alexander Koenig (ZFMK)</t>
  </si>
  <si>
    <t>Hogg, Ian D./HNS-7393-2023; Haase, Martin/G-5034-2012</t>
  </si>
  <si>
    <t>Hogg, Ian D./0000-0002-6685-0089; Haase, Martin/0000-0002-9281-8752</t>
  </si>
  <si>
    <t>10.1007/s00300-006-0119-4</t>
  </si>
  <si>
    <t>096NA</t>
  </si>
  <si>
    <t>WOS:000241382900001</t>
  </si>
  <si>
    <t>Stevens, MI; Fjellberg, A; Greenslade, P; Hogg, ID; Sunnucks, P</t>
  </si>
  <si>
    <t>Stevens, Mark I.; Fjellberg, Arne; Greenslade, Penelope; Hogg, Ian D.; Sunnucks, Paul</t>
  </si>
  <si>
    <t>Redescription of the Antarctic springtail Desoria klovstadi using morphological and molecular evidence</t>
  </si>
  <si>
    <t>VICTORIA LAND; ISOTOMA-KLOVSTADI; GENE-SEQUENCES; RIBOSOMAL DNA; COLLEMBOLA; EVOLUTION; AMPLIFICATION; PHYLOGENY; HEXAPODA; NUCLEAR</t>
  </si>
  <si>
    <t>Isotoma klovstadi Carpenter, 1902 was one of the first Collembola described from the Antarctic continent. It was first collected in November 1899 during the British Antarctic Expedition on the north coast of Victoria Land in the Ross Sea region. It is now known to occur in an extensive area of northern Victoria Land, including the offshore Possession, Coulman, and Foyn Islands. More recently, L klovstadi was moved to the genus Gnathisotoma Cassagnau, 1957 and has been included in this genus in an unpublished checklist (online) of all described Collembola. Here, we redescribe the species and use morphological and molecular (COI and 18S genes) evidence to investigate its affinities within the Isotominae. We show that it does not belong to Gnathisotoma, or Isotoma s. str. (the viridis group) as currently conceived, but is likely to be part of the species complex of Isotoma s. lat. We discuss reasons for placing it in the genus Desoria Nicolet, 1841. Our results reinforce the already high level of endemicity in the Antarctic fauna and emphasise the value of both morphological and molecular studies in examining relict Gondwanan taxa and their evolutionary relationships with those of other Southern Hemisphere continents.</t>
  </si>
  <si>
    <t>Massey Univ, Allan Wilson Ctr Mol Ecol &amp; Evolut, Palmerston North, New Zealand; La Trobe Univ, Dept Genet, Bundoora, Vic 3086, Australia; Lund Univ, Museum Zool, S-22362 Lund, Sweden; Australian Natl Univ, Dept Bot &amp; Zool, Canberra, ACT 0200, Australia; Univ Waikato, Ctr Biodivers &amp; Ecol Res, Hamilton, New Zealand</t>
  </si>
  <si>
    <t>Massey University; La Trobe University; Lund University; Australian National University; University of Waikato</t>
  </si>
  <si>
    <t>Hogg, Ian D./0000-0002-6685-0089; Sunnucks, Paul/0000-0002-8139-7059</t>
  </si>
  <si>
    <t>10.1007/s00300-006-0120-y</t>
  </si>
  <si>
    <t>WOS:000241382900002</t>
  </si>
  <si>
    <t>Hernandez-Blazquez, FJ; Guerra, RR; Kfoury, JR; Bombonato, PP; Cogliati, B; da Silva, JRMC</t>
  </si>
  <si>
    <t>Hernandez-Blazquez, Francisco Javier; Guerra, Ricardo Romao; Kfoury, Jose Roberto, Jr.; Bombonato, Pedro Primo; Cogliati, Bruno; Cunha da Silva, Jose Roberto Machado</t>
  </si>
  <si>
    <t>Fat absorptive processes in the intestine of the Antarctic fish Notothenia coriiceps (Richardson, 1844)</t>
  </si>
  <si>
    <t>RAINBOW-TROUT; ENTEROCYTES; METABOLISM; EPITHELIUM; PROTEIN; MUSCLE</t>
  </si>
  <si>
    <t>Absorption of lipids by the enterocytes of Notothenia coriiceps,. an omnivorous Antarctic and subAntarctic fish, was studied by light and electron microscopy. The lipids are absorbed by the anterior and middle intestine segments. They appear as fat droplets that measure from 0.5 to 7 mu m of diameter and which accumulate in the apical cytoplasm within the first 24 h and seem to be the main fat storage form in the enterocytes. Fat is also observed as lipid particles with 60-300 nm inside the rough endoplasmic reticulum and cytoplasmic smooth vesicles. The epithelial intercellular space and the mucosal inner lamina contain lipid particles, which probably are the fat transport form. Our observations show that an intense lipid absorptive process takes place in N. coriiceps digestive system, due to the great extension of the intestine involved and due to the great lipid accumulation found in the epithelial compartment.</t>
  </si>
  <si>
    <t>Univ Sao Paulo, Sch Vet Med, Dept Surg, Sect Anat, BR-05508270 Sao Paulo, Brazil; Univ Sao Paulo, Inst Biomed Sci, Dept Cell &amp; Dev Biol, BR-05508 Sao Paulo, Brazil</t>
  </si>
  <si>
    <t>Universidade de Sao Paulo; Universidade de Sao Paulo</t>
  </si>
  <si>
    <t>Hernandez-Blazquez, FJ (corresponding author), Univ Sao Paulo, Sch Vet Med, Dept Surg, Sect Anat, Av Prof Dr Orlando Marqes Paiva 87, BR-05508270 Sao Paulo, Brazil.</t>
  </si>
  <si>
    <t>fjhblazq@usp.br</t>
  </si>
  <si>
    <t>Silva, J.R.M.C./H-7496-2016; Kfoury, Jose R/B-9985-2012; Hernandez-Blazquez, Francisco Javier/K-5450-2014; Cogliati, Bruno/E-9956-2012</t>
  </si>
  <si>
    <t>Silva, J.R.M.C./0000-0002-1687-8526; Kfoury, Jose R/0000-0002-1284-4038; Romao Guerra, Ricardo/0000-0001-8226-8606; Cogliati, Bruno/0000-0002-1388-7240</t>
  </si>
  <si>
    <t>10.1007/s00300-006-0121-x</t>
  </si>
  <si>
    <t>WOS:000241382900003</t>
  </si>
  <si>
    <t>De Mesel, I; Lee, HJ; Vanhove, S; Vincx, M; Vanreusel, A</t>
  </si>
  <si>
    <t>De Mesel, Ilse; Lee, Hee Joong; Vanhove, Sandra; Vincx, Magda; Vanreusel, Ann</t>
  </si>
  <si>
    <t>Species diversity and distribution within the deep-sea nematode genus Acantholaimus on the continental shelf and slope in Antarctica</t>
  </si>
  <si>
    <t>VERTICAL-DISTRIBUTION; INDIAN-OCEAN; WEDDELL SEA; MEIOFAUNA; SEDIMENT; COMMUNITIES; ECOLOGY; FORAMINIFERA; ASSEMBLAGES; DISPERSAL</t>
  </si>
  <si>
    <t>Species diversity and distribution-in relation with biogeography, bathymetry and environmental characteristics-within the genus Acantholaimus were investigated on the shelf and slope (182-2,009 in) in the Weddell Sea (Kapp Norvegia and Vestkapp) and near the Antarctic Peninsula (Drake Passage and Bransfield Strait). The occurrence of the otherwise typical deep-sea genus Acantholaimus in high densities and diversity on the continental shelf is a unique feature of the Southern Ocean. Fifty-five Acantholaimus species (morpho-types) were distinguished in our study area, of which 39 were found on the shelf. The Acantholaimus communities were characterised by a high number of congeneric species and the presence of many rare species, similar to typical deep-sea communities. Fourteen species had a distribution extending from the shelf to the lower slope. High local and regional diversity was obvious and a considerable level of endemism was suggested. A negative impact of chlorophyll a concentrations, reflecting the availability of phytoplankton, was found on the Acantholaimus densities and species diversity.</t>
  </si>
  <si>
    <t>Univ Ghent, Marine Biol Sect, B-9000 Ghent, Belgium</t>
  </si>
  <si>
    <t>De Mesel, I (corresponding author), Univ Ghent, Marine Biol Sect, Krijgslaan 281-S8, B-9000 Ghent, Belgium.</t>
  </si>
  <si>
    <t>Ilse.DeMesel@Ugent.be</t>
  </si>
  <si>
    <t>10.1007/s00300-006-0124-7</t>
  </si>
  <si>
    <t>WOS:000241382900006</t>
  </si>
  <si>
    <t>Scapighati, G; Fochetti, R; Tiberi, M; Mazzini, M</t>
  </si>
  <si>
    <t>Scapighati, G.; Fochetti, R.; Tiberi, M.; Mazzini, M.</t>
  </si>
  <si>
    <t>Morphological and flow cytometric characterization of leukocytes from the nototheniold teleosts Dissostichus eleginoides, Notothenia coriiceps and Trematomus hansoni</t>
  </si>
  <si>
    <t>DICENTRARCHUS-LABRAX L; SERUM IMMUNOGLOBULIN; LYMPHOID-TISSUE; MONOCLONAL-ANTIBODY; ANTARCTIC FISH; HEAD-KIDNEY; CELLS; CARP; IMMUNOPURIFICATION</t>
  </si>
  <si>
    <t>To date, the adaptive immune response of the notothenioid fishes of the Sub- and High-Antarctic has received little attention. Here we characterize leukocyte preparations derived from head (pronephric) kidney, spleen, and intestine of three notothenioid species, Dissostichus eleginoides, Notothenia coriiceps, and Trematomus hansom. Cells were collected from head kidney, spleen, and intestine, and were fixed in paraformaldehyde and analyzed by flow cytometry and optical microscopy. The three species displayed typical leukocyte populations composed of lymphocytes, granulocytes, monocytes/macrophages and thrombocytes with a peculiar organ distribution and peculiar flow cytometric patterns. This work represents the first characterization of cells involved in immune reactions in the investigated species.</t>
  </si>
  <si>
    <t>Univ Tuscia, Dipartimento Sci Ambientali, I-01100 Viterbo, Italy</t>
  </si>
  <si>
    <t>Tuscia University</t>
  </si>
  <si>
    <t>Scapighati, G (corresponding author), Univ Tuscia, Dipartimento Sci Ambientali, I-01100 Viterbo, Italy.</t>
  </si>
  <si>
    <t>scapigg@unitus.it</t>
  </si>
  <si>
    <t>10.1007/s00300-006-0126-5</t>
  </si>
  <si>
    <t>WOS:000241382900007</t>
  </si>
  <si>
    <t>Olivier, F; Wotherspoon, SJ</t>
  </si>
  <si>
    <t>Olivier, Frederique; Wotherspoon, Simon J.</t>
  </si>
  <si>
    <t>Distribution and abundance of Wilson's storm petrels Oceanites oceanicus at two locations in East Antarctica:: testing habitat selection models</t>
  </si>
  <si>
    <t>ENVIRONMENTAL-CHANGE; BREEDING SUCCESS; SOUTH-GEORGIA; PREDICTION; ISLANDS; SEABIRD</t>
  </si>
  <si>
    <t>Over the last decades, Antarctic seabird populations have been studied as bioindicators of the variability in the Southern Ocean marine ecosystem. Little information is available on the distribution and abundance of Wilson's storm petrel (Oceanites oceanicus) in East Antarctica although the bioindicator value of this species has been investigated. Regional surveys were conducted at two coastal locations, Casey (66 degrees S, 110 degrees E) and Mawson (67 degrees S, 62 degrees E), to locate Wilson's storm petrel nests using systematic searches in sites selected with a balanced random sampling design. Conducted in ice-free areas of similar size, searches located 553 Wilson's storm petrel nests at Mawson and 630 at Casey. Comparable densities were observed between locations but regional estimates suggest that Wilson's storm petrels are more abundant at Casey. Habitat preferences of Wilson's storm petrels were investigated using resource selection functions based on Generalized Additive and Linear Models (GAMs and GLMs), which allow their ecological niche to be graphically and quantitatively described. The orientation of nests in relation to the prevailing winds was identified as a determinant of nest distribution at both locations. However, selected rock substrate types differed between Mawson and Casey. Snow was confirmed to constrain the spatial distribution of nests, especially at Casey where snow precipitations and accumulation are more common in summer, confirming the results of previous temporal surveys focusing on breeding success. At the southern edge of its geographic distribution, the Wilson's storm petrel may be subject to more obvious climate related habitat changes in East Antarctica. Such models may provide valuable information to detect the potential effect of climate variations on this species and others, in the context of a broad Antarctic ecosystem monitoring.</t>
  </si>
  <si>
    <t>Olivier, F (corresponding author), Univ Tasmania, Inst Antarctic &amp; So Ocean Studies, Ptivate Bag 77, Hobart, Tas 7001, Australia.</t>
  </si>
  <si>
    <t>folivier@utas.edu.au</t>
  </si>
  <si>
    <t>Wotherspoon, Simon J/B-2390-2013</t>
  </si>
  <si>
    <t>Wotherspoon, Simon J/0000-0002-6947-4445</t>
  </si>
  <si>
    <t>10.1007/s00300-006-0127-4</t>
  </si>
  <si>
    <t>WOS:000241382900008</t>
  </si>
  <si>
    <t>Allende, L; Pizarro, H</t>
  </si>
  <si>
    <t>Allende, Luz; Pizarro, Haydee</t>
  </si>
  <si>
    <t>Top-down control on plankton components in an Antarctic pond: experimental approach to the study of low-complexity food webs</t>
  </si>
  <si>
    <t>picoplankton; phytoplankton; ciliates; top-down; Antarctica</t>
  </si>
  <si>
    <t>HOPE BAY; FRESH-WATER; MICROBIAL COMMUNITY; TROPHIC STATUS; 3 LAKES; PHYTOPLANKTON; PICOPLANKTON; BIOMASS; PICOPHYTOPLANKTON; DYNAMICS</t>
  </si>
  <si>
    <t>In order to address the top-down effect on the different phytoplankton size-fractions and ciliates, a survey at microcosm scale was conducted in a hypertrophic Antarctic pond, testing the hypotheses that (1) the picophytoplankton is regulated by a top-down control exerted by organisms of the bigger size-fractions, and (2) the nanoplankton fraction (algae and ciliates) is not regulated by a top-down control exerted by the microplankton. The treatments enclosed pond water that was filtered to obtain the different plankton sizes: (a) through 55 mu m, (b) 20 mu m, and (c) 3 pm pore size filters. The variation in the net growth rate (k') of the phytoplankton size-fractions and ciliates was analysed after 4 days. The results determined a significant difference (P &lt; 0.011) in the k' value of the picophytoplankton when nano and micro-sized fractions where removed. Conversely, nanophytoplankton and nanociliates were not affected by the removal of bigger size-fractions. We suggest that in this pond the top-down control of the picophytoplankton is relevant, and that the grazing impact is not a key factor in the regulation of the nanosized (algae and ciliates) plankton components.</t>
  </si>
  <si>
    <t>Univ Buenos Aires, Fac Ciencias Exactas &amp; Nat, Dept Ecol Genet &amp; Evoluc, Buenos Aires, DF, Argentina; Consejo Nacl Invest Cient &amp; Tecn, RA-1033 Buenos Aires, DF, Argentina</t>
  </si>
  <si>
    <t>University of Buenos Aires; Consejo Nacional de Investigaciones Cientificas y Tecnicas (CONICET)</t>
  </si>
  <si>
    <t>Allende, L (corresponding author), Univ Buenos Aires, Fac Ciencias Exactas &amp; Nat, Dept Ecol Genet &amp; Evoluc, Ciudad Univ,C1428EHA, Buenos Aires, DF, Argentina.</t>
  </si>
  <si>
    <t>lallende@aege.fcen.uba.ar</t>
  </si>
  <si>
    <t>10.1007/s00300-006-0129-2</t>
  </si>
  <si>
    <t>WOS:000241382900009</t>
  </si>
  <si>
    <t>Wilson, JW; Burle, MH; Bester, MN</t>
  </si>
  <si>
    <t>Wilson, J. W.; Burle, M. -H.; Bester, M. N.</t>
  </si>
  <si>
    <t>Vagrant Antarctic pinnipeds at Gough Island</t>
  </si>
  <si>
    <t>FUR SEALS ARCTOCEPHALUS; POPULATION-CHANGES; LEOPARD SEALS; TROPICALIS; GAZELLA; ABUNDANCE; BOUVETOYA</t>
  </si>
  <si>
    <t>Opportunistic sightings of Antarctic fur seals Arctocephalus gazella and a leopard seal Hydrurga leptonyx at Gough Island (40 degrees 20'S, 09 degrees 54'W) in the South Atlantic Ocean represent the northernmost island records for vagrant Antarctic fur seals, and only the second for a vagrant leopard seal at Gough Island. Some ten different individual Antarctic fur seals were sighted on a single day, up to seven on a single beach. An overall total of 18 individuals were recorded over a 7-week period in October/November 2005, before the onset of the breeding (pupping) season of the resident population of Subantarctic fur seals Arctocephalus tropicalis. Most were immature, male and mostly in good condition (n = 11, 61%); one mature male and six putative females were also present. All had departed after 23 November, although only a fraction of the available beaches was searched.</t>
  </si>
  <si>
    <t>Univ Pretoria, Mammal Res Inst, Dept Zool &amp; Entomol, ZA-0002 Pretoria, South Africa; Univ Cape Town, Percy Fitzpatrick Inst, Ctr Excellence, ZA-7701 Rondebosch, South Africa; Royal Soc Protect Birds, Sandy SG19 2DL, Beds, England</t>
  </si>
  <si>
    <t>University of Pretoria; University of Cape Town; Royal Society for Protection of Birds</t>
  </si>
  <si>
    <t>Bester, MN (corresponding author), Univ Pretoria, Mammal Res Inst, Dept Zool &amp; Entomol, ZA-0002 Pretoria, South Africa.</t>
  </si>
  <si>
    <t>mnbester@zoology.up.ac.za</t>
  </si>
  <si>
    <t>Bester, Marthán N/E-5387-2010; Wilson, John W./E-9601-2011</t>
  </si>
  <si>
    <t>Wilson, John W./0000-0002-7230-1449</t>
  </si>
  <si>
    <t>10.1007/s00300-006-0187-5</t>
  </si>
  <si>
    <t>WOS:000241382900011</t>
  </si>
  <si>
    <t>Schwamborn, G; Meyer, H; Fedorov, G; Schirrmeister, L; Hubberten, HW</t>
  </si>
  <si>
    <t>Schwamborn, Georg; Meyer, Hanno; Fedorov, Grigory; Schirrmeister, Lutz; Hubberten, Hans-W.</t>
  </si>
  <si>
    <t>Ground ice and slope sediments archiving late Quaternary paleoenvironment and paleoclimate signals at the margins of El'gygytgyn Impact Crater, NE Siberia</t>
  </si>
  <si>
    <t>QUATERNARY RESEARCH</t>
  </si>
  <si>
    <t>NORTHEASTERN SIBERIA; NORTHERN SIBERIA; CENTRAL CHUKOTKA; YUKON-TERRITORY; STABLE-ISOTOPES; PERMAFROST; ISLAND; DEPOSITS; RADAR; AGE</t>
  </si>
  <si>
    <t>An accumulation terrace close to the El' gygytgyn Impact Crater in northeastern Siberia contains stratigraphic and periglacial evidence of the palcoenvironmental and paleoclimatic history and permafrost dynamics during late Quaternary time. A succession of paleo active-layer deposits that mirror environmental changes records periods favorable for the establishment and growth of ice-wedge polygonal networks and sediment variations. These two elements of the periglacial landscape serve as complementary paleoenvironmental archives that can be traced back to similar to 14,000 cal yr BP. The slope sediments and the ground ice contained therein have prominent relative maxima and minima in properties (grain size, total organic content.. oxygen isotopes). They document a regional early Holocene thermal maximum at about 9000 cal yr BP, followed by a transition to slightly cooler conditions, and a subsequent transition to slightly warmer conditions after about 4000 cal yr BP. Results from sedimentary analysis resemble morphological and geochemical (oxygen and hydrogen isotopes) results from ice wedge studies, in which successive generations of ice-wedge polygonal networks record warmer winters in late Holocene time. Moreover, peaks of light soluble cation contents and quartz-grain surface textures reveal distinct traces of cryogenic weathering. We propose a conclusive sedimentation model illustrating terrace formation in a permafrost terrain. (c) 2006 University of Washington. All rights reserved.</t>
  </si>
  <si>
    <t>Alfred Wegener Inst Polar &amp; Marine Res, D-14473 Potsdam, Germany; Arctic &amp; Antarctic Res Inst, St Petersburg 199397, Russia</t>
  </si>
  <si>
    <t>Helmholtz Association; Alfred Wegener Institute, Helmholtz Centre for Polar &amp; Marine Research; Arctic &amp; Antarctic Research Institute</t>
  </si>
  <si>
    <t>Schwamborn, G (corresponding author), Alfred Wegener Inst Polar &amp; Marine Res, Telegrafenberg A43, D-14473 Potsdam, Germany.</t>
  </si>
  <si>
    <t>gschwamborn@awi-potsdam.de</t>
  </si>
  <si>
    <t>Fedorov, Grigory/N-5788-2019; Schirrmeister, Lutz/O-5584-2015; Fedorov, Grigory/N-3444-2013; Schirrmeister, Lutz/AGW-0545-2022; Meyer, Hanno/AAQ-4260-2021; Schwamborn, Georg Johannes/ABC-9636-2020</t>
  </si>
  <si>
    <t>Fedorov, Grigory/0000-0003-2269-4501; Schirrmeister, Lutz/0000-0001-9455-0596; Fedorov, Grigory/0000-0003-2269-4501; Schirrmeister, Lutz/0000-0001-9455-0596; Meyer, Hanno/0000-0003-4129-4706; Schwamborn, Georg Johannes/0000-0001-9635-0539</t>
  </si>
  <si>
    <t>0033-5894</t>
  </si>
  <si>
    <t>QUATERNARY RES</t>
  </si>
  <si>
    <t>Quat. Res.</t>
  </si>
  <si>
    <t>10.1016/j.yqres.2006.06.007</t>
  </si>
  <si>
    <t>103GP</t>
  </si>
  <si>
    <t>WOS:000241874000006</t>
  </si>
  <si>
    <t>Mosola, AB; Anderson, JB</t>
  </si>
  <si>
    <t>Mosola, Amanda B.; Anderson, John B.</t>
  </si>
  <si>
    <t>Expansion and rapid retreat of the West Antarctic Ice Sheet in eastern Ross Sea: possible consequence of over-extended ice streams?</t>
  </si>
  <si>
    <t>LAST GLACIAL MAXIMUM; PLEISTOCENE-HOLOCENE RETREAT; PINE ISLAND BAY; CONTINENTAL-SHELF; SUBGLACIAL GEOLOGY; MARINE-SEDIMENTS; LATE WISCONSIN; FLOOR EVIDENCE; RADIOCARBON; TILL</t>
  </si>
  <si>
    <t>Marine geological data from the eastern Ross Sea provide compelling evidence that the West Antarctic Ice Sheet extended to the continental shelf break during the last glacial maximum. Swath bathymetry records show mega-scale glacial lineations within each of the four large glacial troughs on the shelf. These features extend virtually uninterrupted across the shelf and have sharp lateral boundaries. Sediment cores that sampled the lineations recovered diamicton that is interpreted as deformation till. The combined data indicate streaming ice. The great extent of the paleo-ice streams (up to 1000km in length) is attributed to the fact that they flowed across unconsolidated sedimentary strata. Geomorphic features that are known to form at the retreating grounding line, such as recessional moraines and ridges, are restricted to the southeastern portion of the shelf. Iceberg furrows that occur at depths of up to 650m overprint mega-scale lineations. These deep furrows are interpreted as having been formed by icebergs calved from the grounding line of the ice sheet, which indicates the absence of a fringing ice shelf. Sediment cores sampled a thin layer of glaciomarine sediments resting sharply on till. Sub-ice shelf deposits, similar to those sampled in the western Ross Sea, were not recovered in the eastern Ross Sea. These combined results imply rapid retreat of the ice sheet from the shelf. Crosscutting lineations with different orientations indicate changes in flow direction that probably occurred as the ice profile was lowered and the physiography of the sea floor across which the ice sheet was retreating changed. Grounding zone wedges vary in number and location within individual troughs, which indicates diachronous retreat of ice streams. Due to a lack of carbonate material for radiocarbon dating, all radiocarbon ages were derived from acid insoluble organic (AIO) fractions. These dates indicate early retreat of the ice sheet relative to the western Ross Sea and other areas of west Antarctica. However, the older dates must be viewed as suspect, due to a paucity of diatomaceous material and contamination from old carbon. While we were not successful at constraining the timing of ice sheet retreat from the continental shelf, the data do indicate that the ice sheet was grounded on the shelf during the LGM. (c) 2006 Elsevier Ltd. All rights reserved.</t>
  </si>
  <si>
    <t>Rice Univ, Dept Earth Sci, Houston, TX 77251 USA</t>
  </si>
  <si>
    <t>Rice University</t>
  </si>
  <si>
    <t>Anderson, JB (corresponding author), Rice Univ, Dept Earth Sci, Houston, TX 77251 USA.</t>
  </si>
  <si>
    <t>johna@rice.edu</t>
  </si>
  <si>
    <t>Anderson, John/B-1011-2012</t>
  </si>
  <si>
    <t>17-18</t>
  </si>
  <si>
    <t>10.1016/j.quascirev.2005.12.013</t>
  </si>
  <si>
    <t>088NS</t>
  </si>
  <si>
    <t>WOS:000240819000010</t>
  </si>
  <si>
    <t>Pudsey, CJ; Murray, JW; Appleby, P; Evans, J</t>
  </si>
  <si>
    <t>Pudsey, Carol J.; Murray, John W.; Appleby, Peter; Evans, Jeffrey</t>
  </si>
  <si>
    <t>Lee shelf history from petrographic and foraminiferal evidence, Northeast Antarctic Peninsula</t>
  </si>
  <si>
    <t>LARSEN ICE SHELF; QUATERNARY GLACIAL HISTORY; BOTTOM WATER FORMATION; JAMES-ROSS-ISLAND; LATE PLEISTOCENE; WEDDELL SEA; EAST ANTARCTICA; FORMER LARSEN; PACIFIC-OCEAN; HOLOCENE</t>
  </si>
  <si>
    <t>A detailed record of late Pleistocene deglaciation followed by mid-Holocene ice shelf breakup and late Holocene re-growth is contained in continental shelf sediments in the northern Larsen area, northeast Antarctic Peninsula. The zero age of core tops is confirmed by new and published Pb-210 profiles, and 70 accelerator mass spectrometer (AMS) C-14 dates on bulk organic carbon define sedimentation rates of 7.6-92 cm/ka. The varied geology in the local ice drainage basins facilitates the use of ice-rafted debris (IRD) provenance in determining the presence or absence of ice shelves. All inshore cores contain an interval of non-local IRD in the postglacial section, demonstrating widespread ice shelf breakup in the mid-Holocene. Both breakup and re-growth may have taken centuries and there are no widespread debris layers associated with breakup. Cores beyond and up to 30 km inside the historical ice shelf limit exhibit a varied IRD provenance throughout the Holocene, suggesting the maximum ice shelf limit may date only from the Little Ice Age. Benthic foraminiferal assemblages are related to water masses and position on the continental shelf and have been modified by taphonomic processes. Nevertheless we discern a deglaciation signal in Prince Gustav Channel of a calcareous spike in predominantly agglutinated assemblages, and this is repeated at the time of tnid-Holocene ice shelf breakup. The inferred mid-Holocene warm period occurred later in the northern Larsen area than on the west coast of the Antarctic Peninsula. (c) 2006 Elsevier Ltd. All rights reserved.</t>
  </si>
  <si>
    <t>British Antarctic Survey, Cambridge CB3 0ET, England; Southampton Oceanog Ctr, Sch Ocean &amp; Earth Sci, Southampton SO14 3ZN, Hants, England; Univ Liverpool, Dept Math Sci, Environm Radioact Res Ctr, Liverpool L69 3BX, Merseyside, England; British Antarctic Survey, Cambridge CB3 0ET, England</t>
  </si>
  <si>
    <t>UK Research &amp; Innovation (UKRI); Natural Environment Research Council (NERC); NERC British Antarctic Survey; NERC National Oceanography Centre; University of Southampton; University of Liverpool; UK Research &amp; Innovation (UKRI); Natural Environment Research Council (NERC); NERC British Antarctic Survey</t>
  </si>
  <si>
    <t>Pudsey, CJ (corresponding author), 7 Lochy Terrace, Blairgowrie PH10 6HY, Perth, Scotland.</t>
  </si>
  <si>
    <t>carol_pudsey@btinternet.com</t>
  </si>
  <si>
    <t>Evans, Jeffrey/F-5548-2010</t>
  </si>
  <si>
    <t>Appleby, Peter/0000-0002-6945-1841</t>
  </si>
  <si>
    <t>10.1016/j.quascirev.2006.01.029</t>
  </si>
  <si>
    <t>WOS:000240819000021</t>
  </si>
  <si>
    <t>Sun, LG; Yin, XB; Liu, XD; Zhu, RB; Xie, ZQ; Wang, YH</t>
  </si>
  <si>
    <t>Sun, Liguang; Yin, Xuebin; Liu, Xiaodong; Zhu, Renbin; Xie, Zhouqing; Wang, Yuhong</t>
  </si>
  <si>
    <t>A 2000-year record of mercury and ancient civilizations in seal hairs from King George Island, West Antarctica</t>
  </si>
  <si>
    <t>7th International Conference on Mercury as a Global Pollutant</t>
  </si>
  <si>
    <t>JUN 28-JUL 02, 2004</t>
  </si>
  <si>
    <t>Ljubljana, SLOVENIA</t>
  </si>
  <si>
    <t>total mercury; West Antarctica; King George Island; seal hair; anthropogenic source</t>
  </si>
  <si>
    <t>SOUTHERN ELEPHANT SEAL; ATMOSPHERIC MERCURY; CLIMATE-CHANGE; TRACE-METALS; ANTHROPOGENIC INFLUENCES; MASS-SPECTROMETRY; CEPHALOPOD DIET; LAKE-SEDIMENTS; ICE CORE; PEAT BOG</t>
  </si>
  <si>
    <t>The concentrations of total mercury (Hg-T) and three bio-essential elements (phosphor, potassium, sodium) were analyzed in Antarctic seal hairs from a lake core spanning the past 2000 years and collected from King George Island (63 degrees 23'S, 57 degrees 00'W), West Antarctica. The HgT concentration shows a significant fluctuation while the levels of the three bio-essential elements remain almost constant. The rise and fall of the HgT concentration in the seal hairs are found to be closely coincided with ancient activities of gold and silver mining using Hg-amalgamation process around the world, especially in the Southern Hemisphere. Briefly, HgT levels are high during five episodes of extensive gold and silver mining activities-Rome Empire and China Han Dynasty (similar to 18-300 A.D.), Maya period and China Tang (750-900 A.D.), Incas civilization and Christian Kingdom (1200-1500 A.D.), New world (1650-1800 A.D.), and modem industry period (1840 A.D.-present); they are low during four time periods of reduced gold and silver mining activities-the China Han and Rome fall (since 300 A.D.), Maya fall and War-time period in China (1050-1250 A.D.), Pizarro coming (ca. 1532 A.D.) and Independence War of South America (1800-1830 A.D.). Two profiles of HgT in other two lake cores, one affected by seal excrements and the other by penguin droppings, from the same region are similar to the one in seal hairs. The Hg concentration profile in the seal hairs is significantly correlated with the one in a peat bog of Southern Chile near King George Island. Since Hg is existent mainly at the form of methyl-mercury in seal hairs, this correlation supports a relationship and link between atmospheric mercury concentration and methyl-mercury production. Comparing with samples from American and European continents, the Antarctic seal hairs provide an archive of total mercury concentration in surface seawater of the South Ocean less affected by regional human activities, and this archive may provide a good reference for assessing the global Hg emissions, depositions and recycling in the past thousand years. (c) 2005 Elsevier B.V All rights reserved.</t>
  </si>
  <si>
    <t>Univ Sci &amp; Technol China, Inst Polar Environm, Hefei 230026, Anhui, Peoples R China; Chinese Acad Sci, Inst Earth Environm, Xian 710075, Shanxi, Peoples R China</t>
  </si>
  <si>
    <t>Chinese Academy of Sciences; University of Science &amp; Technology of China, CAS; Chinese Academy of Sciences; Institute of Earth Environment, CAS</t>
  </si>
  <si>
    <t>10.1016/j.scitotenv.2005.09.092</t>
  </si>
  <si>
    <t>Science Citation Index Expanded (SCI-EXPANDED); Arts &amp; Humanities Citation Index (A&amp;HCI); Conference Proceedings Citation Index - Science (CPCI-S)</t>
  </si>
  <si>
    <t>079MF</t>
  </si>
  <si>
    <t>WOS:000240179900023</t>
  </si>
  <si>
    <t>Harwood, D; Levy, R; Cowie, J; Florindo, F; Naish, T; Powell, R; Pyne, A</t>
  </si>
  <si>
    <t>Harwood, David; Levy, Richard; Cowie, Jim; Florindo, Fabio; Naish, Tim; Powell, Ross; Pyne, Alex</t>
  </si>
  <si>
    <t>Deep Drilling with the ANDRILL Program in Antarctica</t>
  </si>
  <si>
    <t>SCIENTIFIC DRILLING</t>
  </si>
  <si>
    <t>[Harwood, David; Levy, Richard] Univ Nebraska, ANDRILL Sci Management Off, 126 Bessey Hall, Lincoln, NE 68588 USA; [Cowie, Jim] Int Antarctic Ctr, Antarctica New Zealand, Christchurch, New Zealand; [Florindo, Fabio] Ist Nazl Geofis &amp; Vulcanol, I-00143 Rome, Italy; [Naish, Tim] GNS Sci, Lower Hutt, New Zealand; [Powell, Ross] Northern Illinois Univ, Dept Geol &amp; Environm Geosci, De Kalb, IL 60115 USA; [Pyne, Alex] Victoria Univ Wellington, Sch Earth Sci, Antarctic Res Ctr, Wellington, New Zealand</t>
  </si>
  <si>
    <t>University of Nebraska System; University of Nebraska Lincoln; Istituto Nazionale Geofisica e Vulcanologia (INGV); GNS Science - New Zealand; Northern Illinois University; Victoria University Wellington</t>
  </si>
  <si>
    <t>Harwood, D (corresponding author), Univ Nebraska, ANDRILL Sci Management Off, 126 Bessey Hall, Lincoln, NE 68588 USA.</t>
  </si>
  <si>
    <t>dharwood1@unl.edu</t>
  </si>
  <si>
    <t>Florindo, Fabio/AAU-2548-2021; Florindo, Fabio/M-1459-2019; Levy, Richard H/E-2477-2011; Florindo, Fabio/F-4119-2010</t>
  </si>
  <si>
    <t>Florindo, Fabio/0000-0002-6058-9748; Florindo, Fabio/0000-0002-6058-9748; Levy, Richard/0000-0002-8783-0167; Naish, Tim/0000-0002-1185-9932</t>
  </si>
  <si>
    <t>U.S. National Science Foundation</t>
  </si>
  <si>
    <t>U.S. National Science Foundation(National Science Foundation (NSF))</t>
  </si>
  <si>
    <t>Submitted by David Harwood and Richard Levy on behalf of members of the M-ASIC and AOMG committees, the staff of the ANDRILL Project Operator within Antarctica New Zealand, the staff of the Science Management Office at the University of Nebraska-Lincoln, and the staff of the Antarctic Research Centre of Victoria University of Wellington. Members of these ANDRILL bodies are identifi ed at the new Web site for ANDRILL (http:// andrill. org), which can be visited for more information. The SMO is supported by a grant from the U.S. National Science Foundation.</t>
  </si>
  <si>
    <t>1816-8957</t>
  </si>
  <si>
    <t>1816-3459</t>
  </si>
  <si>
    <t>SCI DRILL</t>
  </si>
  <si>
    <t>Sci. Drill.</t>
  </si>
  <si>
    <t>10.5194/sd-3-43-2006</t>
  </si>
  <si>
    <t>V90TQ</t>
  </si>
  <si>
    <t>WOS:000212881300010</t>
  </si>
  <si>
    <t>SHALDRIL: Quick Drilling on the Antarctic Continental Shelf</t>
  </si>
  <si>
    <t>WOS:000212881300017</t>
  </si>
  <si>
    <t>Lane, E; Peacock, S; Restrepo, AM</t>
  </si>
  <si>
    <t>Lane, Emily; Peacock, Synte; Restrepo, Andjuan M.</t>
  </si>
  <si>
    <t>A dynamic-flow carbon-cycle box model and high-latitude sensitivity</t>
  </si>
  <si>
    <t>ANTARCTIC SEA-ICE; THERMOHALINE CIRCULATION; ATMOSPHERIC CO2; MULTIPLE EQUILIBRIA; OCEAN; TEMPERATURE; STRATIFICATION; CLIMATE; RATIOS; PCO(2)</t>
  </si>
  <si>
    <t>Most of the hypotheses put forward to explain glacial-interglacial cycles in atmospheric pCO(2) are centred on Southern-Ocean-based mechanisms. This is in large part because: (1) timing constraints rule out changes in the North Atlantic as the trigger; (2) the concept of high-latitude sensitivity eliminates changes in the non-polar oceans as likely contenders. Many of the Southern-Ocean-based mechanisms for changing atmospheric pCO(2) on glacial-interglacial time-scales are based on results from highly simplified box models with prescribed flow fields and fixed particulate flux. It has been argued that box models are significantly more high-latitude sensitive than General Circulation Models. In light of this, it is important to understand whether this high-latitude sensitivity is a feature common to all box models, and whether the apparent degree of sensitivity changes for different tracers and parameters. We introduce a new metric for assessing how high-latitude sensitive a particular solution is to perturbations. With this metric, we demonstrate that a given model may be high-latitude sensitive to certain parameters but not to others. We find that the incorporation of a dynamic-based flow field and a Michaelis-Menten type nutrient feedback can have a significant impact on the apparent sensitivity of the model to perturbations. The implications of this for current box-model-based estimates of atmospheric pCO(2) drawdown are discussed.</t>
  </si>
  <si>
    <t>Univ Chicago, Dept Geophys Sci, Chicago, IL 60637 USA; Univ Calif Los Angeles, Inst Geophys &amp; Planetary Phys, Los Angeles, CA 90095 USA; Univ Arizona, Dept Atmospher Sci, Tucson, AZ 85721 USA; Univ Arizona, Phys Dept, Tucson, AZ 85721 USA</t>
  </si>
  <si>
    <t>University of Chicago; University of California System; University of California Los Angeles; University of Arizona; University of Arizona</t>
  </si>
  <si>
    <t>Peacock, S (corresponding author), Univ Chicago, Dept Geophys Sci, Chicago, IL 60637 USA.</t>
  </si>
  <si>
    <t>synte@geosci.uchicago.edu</t>
  </si>
  <si>
    <t>Lane, Emily/AAU-7786-2020; Restrepo, Juan M./O-3400-2019</t>
  </si>
  <si>
    <t>Restrepo, Juan M./0000-0003-2609-2882; Lane, Emily Margaret/0000-0002-9261-6640</t>
  </si>
  <si>
    <t>CO-ACTION PUBLISHING</t>
  </si>
  <si>
    <t>JARFALLA</t>
  </si>
  <si>
    <t>RIPVAGEN 7, JARFALLA, SE-175 64, SWEDEN</t>
  </si>
  <si>
    <t>0280-6509</t>
  </si>
  <si>
    <t>10.1111/j.1600-0889.2006.00192.x</t>
  </si>
  <si>
    <t>081RN</t>
  </si>
  <si>
    <t>WOS:000240334800001</t>
  </si>
  <si>
    <t>Petkaki, P; Freeman, MP; Walsh, AP</t>
  </si>
  <si>
    <t>Petkaki, P.; Freeman, M. P.; Walsh, A. P.</t>
  </si>
  <si>
    <t>Cluster observations of broadband electromagnetic waves in and around a reconnection region in the Earth's magnetotail current sheet</t>
  </si>
  <si>
    <t>HYBRID-DRIFT INSTABILITY; MAGNETIC RECONNECTION; ANOMALOUS RESISTIVITY; FIELD; ION; MAGNETOSPHERE; PLASMAS</t>
  </si>
  <si>
    <t>[1] We present an analysis of the electric and magnetic wave spectra on kinetic scales during several crossings of a reconnecting current sheet. The spectra were measured from 1 Hz or less up to 4096 Hz by the EFW, FGM and STAFF instruments onboard the Cluster spacecraft between 3 and 4 UT on 11 October 2001. During the event plasma flows of order of the local Alfven speed reversed from tailward to earthward, suggesting that a reconnection site moved over the spacecraft. We ordered the observed electric and magnetic field wave spectrum by the position within the current sheet using the magnitude of the magnetic field B. We found that the electric and magnetic wave power decreased considerably at all frequencies towards the center of the current sheet (B approximate to 0 nT). The electric energy density decreases 5 orders of magnitude from the edge of the current sheet (B = 19 nT) to the center and the magnetic energy density peaks within the current sheet ( B = 13 nT) and is decreased by 2.5 orders of magnitude at the center. Within the current sheet, the electric and magnetic wave spectra were dominantly broadband electromagnetic noise (i.e., power law spectra with exponents approximate to -1.4 and approximate to -2.4, respectively) throughout the frequency range similar to 0.1 - 1000 Hz, spanning from MHD (i.e., ion cyclotron frequency approximate to 0.2 Hz) to almost the electron plasma frequency (approximate to 4000 Hz). We argue that the wave activity is likely to be whistler wave turbulence and discuss the implications of these results for reconnection from wave-particle interactions.</t>
  </si>
  <si>
    <t>British Antarctic Survey, Cambridge CB3 0ET, England; UCL, Mullard Space Sci Lab, Dorking RH5 6NT, Surrey, England</t>
  </si>
  <si>
    <t>Petkaki, P (corresponding author), British Antarctic Survey, Madingley Rd, Cambridge CB3 0ET, England.</t>
  </si>
  <si>
    <t>ppe@bas.ac.uk</t>
  </si>
  <si>
    <t>Walsh, Andrew/N-8749-2019; Walsh, Andrew P/E-6701-2011; Freeman, Mervyn/E-5687-2019</t>
  </si>
  <si>
    <t>Walsh, Andrew/0000-0002-1682-1212; Freeman, Mervyn/0000-0002-8653-8279</t>
  </si>
  <si>
    <t>AUG 31</t>
  </si>
  <si>
    <t>L16105</t>
  </si>
  <si>
    <t>10.1029/2006GL027066</t>
  </si>
  <si>
    <t>081QD</t>
  </si>
  <si>
    <t>WOS:000240331200005</t>
  </si>
  <si>
    <t>Grahn, E; Karlsson, S; Düker, A</t>
  </si>
  <si>
    <t>Grahn, E.; Karlsson, S.; Duker, A.</t>
  </si>
  <si>
    <t>Sediment reference concentrations of seldom monitored trace elements (Ag, Be, In, Ga, Sb, T1) in four Swedish boreal lakes -: Comparison with commonly monitored elements</t>
  </si>
  <si>
    <t>seldom monitored trace elements; lake sediment; reference concentrations; solid/solution distribution</t>
  </si>
  <si>
    <t>ATMOSPHERIC DEPOSITION; LEAD CONTAMINATION; ANTARCTIC SNOW; RECORD; ANTIMONY; NORTHERN; LAND</t>
  </si>
  <si>
    <t>This paper presents reference and recent acid-leachable concentrations of some seldom monitored trace elements (SMTE; Ag, Be, Ga, In, Sb and TI) in sediments from four boreal oligotrophic lakes in a south to north transect in Sweden. For comparison commonly monitored trace elements (As, Cd, Co, Cr, Cu, Ni, Pb and Zn) are included as well as those of relevance for redistribution processes (Al, Ca, Fe, Mg and Mn). Pore water pH and the corresponding solid/solution distribution coefficients (Kd) indicated that redistribution of the elements due to acidification is minor. The depth of impact was defined as the level in the sediment where the mean values became constant on successive exclusion of metal concentrations in overlying strata. Reference concentrations were calculated below the depth of impact. The present concentration changes are estimated by the ratio between the average concentration above the depth of impact and the reference concentration. Reference concentration ranges for the SMT-elements are (mg/kg, dry wt.): Ag 0.16-0.66; Be 1.6-3.7; Ga 2.0-5. 1; In 0.050.22; Sb 0.05-0.11 and TI 0.17-0.70. The concentration ratios for these elements ranged in the two most southern lakes from 1.5 to 4.5 and in the two northern ones from 0.6 to 1.6. A high correlation between Kd for the SMT-elements, and iron, except for Sb and TI, infer that the biogeochemistry of iron is quantitatively important for the accumulation of these elements. The reference concentration ranges for the commonly monitored trace elements are (mg/kg, dry wt.): As 7.0-29.6; Cd 0.330.98; Co 5.7-23.8; Cr 15.2-26.1; Cu 27.6-58.4; Ni 5.4-20.8; Pb 44-96. The corresponding concentration ratios were 1.2-18 (second highest 3.9) in the two most southern lakes and 0.8-1.6 in the two northern ones. Declining ratios were found from south to north, most obvious for cobalt and zinc. The copper ratios did not show a regional pattern, partly because of the impact from old mine waste. Increased concentrations of Ag, Be, Ga, In, Sb and TI in recent sediments up to 4.5 times the reference levels in combination with the geographical pattern infer an elevated loading of these elements. (c) 2006 Elsevier B.V. All rights reserved.</t>
  </si>
  <si>
    <t>Univ Orebro, Man Technol Environm Res Ctr, Dept Nat Sci, SE-70182 Orebro, Sweden</t>
  </si>
  <si>
    <t>Orebro University</t>
  </si>
  <si>
    <t>Grahn, E (corresponding author), Univ Orebro, Man Technol Environm Res Ctr, Dept Nat Sci, SE-70182 Orebro, Sweden.</t>
  </si>
  <si>
    <t>evastina.grahn@nat.oru.se</t>
  </si>
  <si>
    <t>10.1016/j.scitotenv.2006.01.018</t>
  </si>
  <si>
    <t>077PS</t>
  </si>
  <si>
    <t>WOS:000240042700022</t>
  </si>
  <si>
    <t>Philippon, G; Ramstein, G; Charbit, S; Kageyama, M; Ritz, C; Dumas, C</t>
  </si>
  <si>
    <t>Philippon, Gwenaelle; Ramstein, Gilles; Charbit, Sylvie; Kageyama, Masa; Ritz, Catherine; Dumas, Christophe</t>
  </si>
  <si>
    <t>Evolution of the Antarctic ice sheet throughout the last deglaciation: A study with a new coupled climate - north and south hemisphere ice sheet model</t>
  </si>
  <si>
    <t>last deglaciation; sea-level; ice sheets; climate-ice sheets interactions</t>
  </si>
  <si>
    <t>SEA-LEVEL RECORD; U-TH AGES; GLACIAL MAXIMUM; SYSTEM MODEL; GREENLAND; HISTORY; SIMULATION; CYCLE; INSOLATION; BARBADOS</t>
  </si>
  <si>
    <t>The aim of this paper is to assess, through the understanding of deglaciation processes, the contribution of the Antarctic ice sheet to sea-level rise during the last deglaciation. To achieve this goal, we use an Earth System model in which the interactions between the atmosphere, the ocean, the vegetation and the northern and Antarctic ice sheets are represented. This new tool allows the simulation of the evolution of the Antarctic ice volume, which starts to decrease at around 15 ka. At the end of deglaciation, the melting of the Antarctic ice sheet contributes to an ice-equivalent sea-level rise of 9.5 m in the standard experiment and 17.5 m in a more realistic sensitivity experiment accounting for a different bathymetry in the Weddell Sea which succeeds in producing both major ice shelves (Ross and Ronne-Filchner). In both experiments, the melting of all ice sheets contributes to 121.5 m and 129.5 m, respectively, which is very consistent with data. The new coupled model provides a timing and amplitude of the Antarctic deglaciation different from those previously obtained by prescribing the temperature record from the Vostok Antarctic ice core (78 degrees 27'S 106 degrees 52'E) as a uniform temperature forcing. Sensitivity experiments have also been performed to analyse the impact of the parameters at the origin of the deglaciation process: insolation changes, atmospheric CO2 variation, basal melting and sea-level rise. All those parameters have an influence on the timing of the deglaciation. The prescribed global sea level rise is shown to be a major forcing factor for the evolution of the Antarctic ice volume during the last deglaciation. We quantify the direct effect of the sea-level rise due to the northern hemisphere ice sheet melting on the grounding line retreat which, in turn, favours enhancement of grounded ice flow by lowering the buttressing effect of ice shelves. (c) 2006 Elsevier B.V. All rights reserved.</t>
  </si>
  <si>
    <t>UVSQ, CNRS, CEA, UMR IS72,Lab Sci Climat &amp; Environm,IPSL, F-91191 Gif Sur Yvette, France; Lab Glaciol &amp; Geophys Environm, F-38402 St Martin Dheres, France</t>
  </si>
  <si>
    <t>Universite Paris Saclay; Universite Paris Cite; CEA; Centre National de la Recherche Scientifique (CNRS)</t>
  </si>
  <si>
    <t>Philippon, G (corresponding author), UVSQ, CNRS, CEA, UMR IS72,Lab Sci Climat &amp; Environm,IPSL, Bat 701, F-91191 Gif Sur Yvette, France.</t>
  </si>
  <si>
    <t>Gwenaelle.Philippon@cea.fr</t>
  </si>
  <si>
    <t>Charbit, Sylvie/X-5466-2019; Ramstein, Gilles/L-3328-2014; Kageyama, Masa/F-2389-2010</t>
  </si>
  <si>
    <t>Ramstein, Gilles/0000-0002-1522-917X; Ritz, Catherine/0000-0003-0785-8571; Kageyama, Masa/0000-0003-0822-5880</t>
  </si>
  <si>
    <t>AUG 30</t>
  </si>
  <si>
    <t>10.1016/j.epsl.2006.06.017</t>
  </si>
  <si>
    <t>085KG</t>
  </si>
  <si>
    <t>WOS:000240602400011</t>
  </si>
  <si>
    <t>Schneider, DP; Steig, EJ; van Ommen, TD; Dixon, DA; Mayewski, PA; Jones, JM; Bitz, CM</t>
  </si>
  <si>
    <t>Schneider, David P.; Steig, Eric J.; van Ommen, Tas D.; Dixon, Daniel A.; Mayewski, Paul A.; Jones, Julie M.; Bitz, Cecilia M.</t>
  </si>
  <si>
    <t>Antarctic temperatures over the past two centuries from ice cores</t>
  </si>
  <si>
    <t>DRONNING MAUD LAND; LAW DOME; CLIMATE; ACCUMULATION; PRECIPITATION; DELTA-O-18; ISOTOPES; TRENDS; SNOW</t>
  </si>
  <si>
    <t>We present a reconstruction of Antarctic mean surface temperatures over the past two centuries based on water stable isotope records from high-resolution, precisely dated ice cores. Both instrumental and reconstructed temperatures indicate large interannual to decadal scale variability, with the dominant pattern being anti-phase anomalies between the main Antarctic continent and the Antarctic Peninsula region. Comparative analysis of the instrumental Southern Hemisphere (SH) mean temperature record and the reconstruction suggests that at longer timescales, temperatures over the Antarctic continent vary in phase with the SH mean. Our reconstruction suggests that Antarctic temperatures have increased by about 0.2 degrees C since the late nineteenth century. The variability and the long-term trends are strongly modulated by the SH Annular Mode in the atmospheric circulation.</t>
  </si>
  <si>
    <t>Univ Washington, Dept Earth &amp; Space Sci, Seattle, WA 98195 USA; Australian Antarctic Div, Antarctic Climate &amp; Ecosyst Cooperat Res Ctr, Hobart, Tas 7001, Australia; Univ Maine, Climate Change Inst, Orono, ME 04469 USA; GKSS Forschungszentrum Geesthacht GmbH, Inst Coastal Res, D-21502 Geesthacht, Germany; Univ Washington, Dept Atmospher Sci, Seattle, WA 98195 USA</t>
  </si>
  <si>
    <t>University of Washington; University of Washington Seattle; Antarctic Climate &amp; Ecosystems Cooperative Research Centre (ACE CRC); Australian Antarctic Division; University of Maine System; University of Maine Orono; Helmholtz Association; Helmholtz-Zentrum Hereon; University of Washington; University of Washington Seattle</t>
  </si>
  <si>
    <t>Schneider, DP (corresponding author), Univ Washington, Dept Earth &amp; Space Sci, Box 351310, Seattle, WA 98195 USA.</t>
  </si>
  <si>
    <t>schneidd@u.washington.edu</t>
  </si>
  <si>
    <t>Bitz, Cecilia M/S-8423-2016; Mayewski, Paul Andrew/HRD-6969-2023; Schneider, David/E-2726-2010; /G-9088-2015; van Ommen, Tas/B-5020-2012</t>
  </si>
  <si>
    <t>Schneider, David/0000-0001-5308-1834; /0000-0002-8191-5549; van Ommen, Tas/0000-0002-2463-1718; Jones, Julie/0000-0003-2892-8647; Bitz, Cecilia/0000-0002-9477-7499</t>
  </si>
  <si>
    <t>L16707</t>
  </si>
  <si>
    <t>10.1029/2006GL027057</t>
  </si>
  <si>
    <t>081QA</t>
  </si>
  <si>
    <t>WOS:000240330900007</t>
  </si>
  <si>
    <t>Austin, J; Wilson, RJ</t>
  </si>
  <si>
    <t>Austin, John; Wilson, R. John</t>
  </si>
  <si>
    <t>Ensemble simulations of the decline and recovery of stratospheric ozone</t>
  </si>
  <si>
    <t>SOLAR-CYCLE; CLIMATE MODELS; VARIABILITY</t>
  </si>
  <si>
    <t>[ 1] An ensemble of simulations of a coupled chemistry-climate model is completed for 1960 - 2100. The simulations are divided into two periods, 1960 - 2005 and 1990 - 2100. The modeled total ozone amount decrease throughout the atmosphere from the 1960s until about 2000 - 2005, depending on latitude. The Antarctic ozone hole develops rapidly in the model from about the late 1970s, in agreement with observations, but it does not disappear until about 2065, about 15 years later than previous estimates. Spring averaged ozone takes even longer to recover to 1980 values. Ozone amounts in the Antarctic are determined largely by halogen amounts. In contrast, in the Arctic, ozone recovers to 1980 values about 25 - 35 years earlier, depending on the recovery criterion adopted. By the end of the 21st century, the climate change associated with greenhouse gas changes gives rise to a significant superrecovery of ozone in the Arctic but a less marked recovery in the Antarctic. For both polar regions, ensemble and interannual variability is greater in the future than in the past, and hence the timing of the full recovery of polar ozone is very sensitive to the definition of recovery. It is suggested that the range of recovery rates between the hemispheres simulated in the model is related to the overall increase in the strength of the Brewer-Dobson circulation, driven by increases in greenhouse gas concentrations.</t>
  </si>
  <si>
    <t>Geophys Fluid Dynam Lab, Princeton, NJ 08542 USA</t>
  </si>
  <si>
    <t>National Oceanic Atmospheric Admin (NOAA) - USA</t>
  </si>
  <si>
    <t>Austin, J (corresponding author), Geophys Fluid Dynam Lab, Princeton, NJ 08542 USA.</t>
  </si>
  <si>
    <t>john.austin@noaa.gov</t>
  </si>
  <si>
    <t>Cassano, John/HKW-8817-2023</t>
  </si>
  <si>
    <t>D16</t>
  </si>
  <si>
    <t>D16314</t>
  </si>
  <si>
    <t>10.1029/2005JD006907</t>
  </si>
  <si>
    <t>081QY</t>
  </si>
  <si>
    <t>WOS:000240333300004</t>
  </si>
  <si>
    <t>Luis, AJ; Isoguchi, O; Kawamura, H</t>
  </si>
  <si>
    <t>Luis, Alvarinho J.; Isoguchi, Osamu; Kawamura, H.</t>
  </si>
  <si>
    <t>Characteristic patterns of QuikScat-based wind stress and turbulent heat flux in the tropical Indian Ocean</t>
  </si>
  <si>
    <t>monsoon; air-sea heat fluxes; QuikScat; marine atmospheric boundary layer processes; Empirical Orthogonal Analysis; tropical Indian Ocean</t>
  </si>
  <si>
    <t>SEA-SURFACE TEMPERATURE; ARABIAN SEA; VARIABILITY; SUMMER; BUDGET; OSCILLATIONS; CLIMATOLOGY; CIRCULATION; DYNAMICS; RAINFALL</t>
  </si>
  <si>
    <t>Using QuikScat-based vector wind data for 1999-2003, surface wind stress and turbulent heat (Q) have been mapped for the tropical Indian Ocean (10) to understand their seasonal variability. During July wind stress is enhanced by similar to 70% in the Arabian Sea compared to that during January. The Arabian Sea experiences a large Q loss (150-200 W/m(2)) during the summer and winter monsoons, which is nearly 1.3 times of that in the Bay of Bengal. The southeasterlies are strengthened during the southern hemisphere winter. Empirical Orthogonal Function analysis captures different phases of monsoon-induced variability in wind stress and Q, ranging from seasonal to high-frequency perturbations. Coherency between time coefficients of EOF-1 for wind stress and Q suggests that former leads the latter with a temporal lag of 20-40 days for period &gt; 322 days. At high frequencies (&lt; 21 days) Q leads wind stress with a temporal lag of 2 days. Possible explanation for wind stress leading Q over an annual time scale is offered based on the marine atmospheric boundary layer physics and pre-conditioned ocean surface, while on shorter time scales (21 days) ocean thermodynamics through mixed layer processes cause Q to lead wind stress. (c) 2006 Elsevier Inc. All rights reserved.</t>
  </si>
  <si>
    <t>Govt India, Polar Remote Sensing Div, Natl Ctr Antarctic &amp; Ocean Res, Vasco Da Gama 403804, Goa, India; Tohoku Univ, Grad Sch Sci, Ctr Atmospher &amp; Ocean Studies, Sendai, Miyagi 9808578, Japan</t>
  </si>
  <si>
    <t>Ministry of Earth Sciences (MoES) - India; National Centre for Polar and Ocean Research (NCPOR); Tohoku University</t>
  </si>
  <si>
    <t>Luis, AJ (corresponding author), Govt India, Polar Remote Sensing Div, Natl Ctr Antarctic &amp; Ocean Res, Vasco Da Gama 403804, Goa, India.</t>
  </si>
  <si>
    <t>alvluis@yahoo.com</t>
  </si>
  <si>
    <t>Luis, Dr Alvarinho J./0000-0002-3425-8048</t>
  </si>
  <si>
    <t>10.1016/j.rse.2006.04.002</t>
  </si>
  <si>
    <t>075JV</t>
  </si>
  <si>
    <t>WOS:000239882000002</t>
  </si>
  <si>
    <t>Marshall, CP; Carter, EA; Leuko, S; Javaux, EJ</t>
  </si>
  <si>
    <t>Marshall, Craig P.; Carter, Elizabeth A.; Leuko, Stefan; Javaux, Emmanuelle J.</t>
  </si>
  <si>
    <t>Vibrational spectroscopy of extant and fossil microbes: Relevance for the astrobiological exploration of Mars</t>
  </si>
  <si>
    <t>VIBRATIONAL SPECTROSCOPY</t>
  </si>
  <si>
    <t>6th Australian Conference on Vibrational Spectroscopy (ACOVS6)</t>
  </si>
  <si>
    <t>SEP 28-30, 2005</t>
  </si>
  <si>
    <t>Univ Sydney, Sydney, AUSTRALIA</t>
  </si>
  <si>
    <t>Univ Sydney</t>
  </si>
  <si>
    <t>Raman spectroscopy; FTIR spectroscopy; halophilic archaea; micro-eukaryotes; carotenoids; algaenans</t>
  </si>
  <si>
    <t>MACROMOLECULAR CONSTITUENTS; ANTARCTIC HABITATS; RAMAN-SPECTROSCOPY; IN-SITU; ACRITARCHS; LIFE</t>
  </si>
  <si>
    <t>The vibrational spectra of an extant Archaea, Halobacterium salinarum, an extant micro-eukaryote resistant biopolymer isolated from Botrycoccus braunii, and an extinct (ca. 590-565 Ma) micro-eukaryote microfossil Tanarium conoideum, have been recorded using near-infrared FT Raman spectroscopy and FTIR spectroscopy. Raman biosignatures for the carotenoid pigment, bacterioruberin was obtained from the halophilic Archaea H. salinarum. Another pigment biosynthesized by halophilic Archaea, bacteriorhodopsin a retinal-protein complex was also investigated. The FTIR analysis of H. salinarum showed the presence of proteins and lipids, and the spectrum of isolated bacteriorhodopsin was different in that it contained retinal C-C stretching bands. FT Raman and FTIR analysis of the resistant biopolymer isolated from B. braunii indicated a composition of long straight chain polymethylenic macromolecule-termed algaenan. Moreover, these biopolymers can be preserved on geological timescales, hence the importance of generating a database of these materials for palaeobiology and astrobiology applications. The FT Raman and FTIR spectra acquired from T. conoideum contain intense aliphatic C-H stretching modes in the 2700-3000 cm(-1) region. Both the FT Raman and FTIR spectra are consistent with vibrational spectra obtained from algaenans isolated from extant chlorophytes, for example, B. braunii, or eustigmatophyte micro-algae. (C) 2006 Elsevier B.V. All rights reserved.</t>
  </si>
  <si>
    <t>Univ Sydney, Sch Chem, Vibrat Spect Facil, Sydney, NSW 2006, Australia; Macquarie Univ, Australian Ctr Astrobiol, Sydney, NSW 2109, Australia; Univ Liege, Dept Geol, B-4000 Sart Tilman Par Liege, Belgium</t>
  </si>
  <si>
    <t>University of Sydney; Macquarie University; University of Liege</t>
  </si>
  <si>
    <t>Marshall, CP (corresponding author), Univ Sydney, Sch Chem, Vibrat Spect Facil, Sydney, NSW 2006, Australia.</t>
  </si>
  <si>
    <t>c.marshall@chem.usyd.edu.au</t>
  </si>
  <si>
    <t>Carter, Elizabeth/J-7365-2019</t>
  </si>
  <si>
    <t>Carter, Elizabeth/0000-0001-6318-7771</t>
  </si>
  <si>
    <t>0924-2031</t>
  </si>
  <si>
    <t>1873-3697</t>
  </si>
  <si>
    <t>VIB SPECTROSC</t>
  </si>
  <si>
    <t>Vib. Spectrosc.</t>
  </si>
  <si>
    <t>10.1016/j.vibspec.2006.01.008</t>
  </si>
  <si>
    <t>Chemistry, Analytical; Chemistry, Physical; Spectroscopy</t>
  </si>
  <si>
    <t>082AO</t>
  </si>
  <si>
    <t>WOS:000240358900007</t>
  </si>
  <si>
    <t>Steppuhn, A; Micheels, A; Geiger, G; Mosbrugger, V</t>
  </si>
  <si>
    <t>Steppuhn, Anke; Micheels, Arne; Geiger, Gunfried; Mosbrugger, Volker</t>
  </si>
  <si>
    <t>Reconstructing the Late Miocene climate and oceanic heat flux using the AGCM ECHAM4 coupled to a mixed-layer ocean model with adjusted flux correction</t>
  </si>
  <si>
    <t>Workshop on Later Miocene to Early Pliocene Environment and Climate Change in the Mediterranean Area</t>
  </si>
  <si>
    <t>Sabadell, SPAIN</t>
  </si>
  <si>
    <t>climate modelling; mixed-layer ocean model; flux correction; sea surface temperature; Miocene</t>
  </si>
  <si>
    <t>GENERAL-CIRCULATION MODEL; NORTH-ATLANTIC; WIND STRESS; ENERGY TRANSPORTS; TIBETAN PLATEAU; SOUTHERN ASIA; GLOBAL-MODEL; EVOLUTION; SENSITIVITY; ATMOSPHERE</t>
  </si>
  <si>
    <t>In terms of climate, the Late Miocene represents a transitional phase between the Eocene greenhouse climate and the Quaternary icehouse situation; it is characterised by an extensive Antarctic ice sheet and incipient glaciation in the Northern Hemisphere. In order to better understand the Late Miocene climate, we performed a simulation study for the Tortonian using the complex atmospheric general circulation model ECHAM4 coupled to a mixed-layer ocean model. The boundary conditions such as the orography and the continental ice distribution were adapted to the Tortonian conditions; considering the coarse geographic resolution of the model, the land-sea distribution was assumed to be similar to the present situation and the atmospheric CO, concentration was set to 353 ppm. Because the mixed-layer ocean model uses a flux correction tuned to the modem oceanic heat transport a method was developed to estimate the Tortonian palaeo-flux correction based on the zonally averaged SST gradients. As compared to the present-day world, the Tortonian model run shows a significant reduction in the oceanic heat transport, a considerable warming and reduction of sea ice in high latitudes, a weakening of the Asian monsoon, a cooling in the mid-latitudes-caused by the reduced oceanic heat transport-and an increase in precipitation in Southern Europe. Except for the cooling of the mid-latitudes these results are largely consistent with proxy-data and other modelling studies although the proxy data indicate much warmer conditions in high latitudes than calculated in the model. The reasons for the discrepancies between model-based and proxy data reconstructions are discussed. (c) 2006 Elsevier B.V. All rights reserved.</t>
  </si>
  <si>
    <t>Univ Tubingen, Inst Geowissensch, D-72076 Tubingen, Germany</t>
  </si>
  <si>
    <t>Eberhard Karls University of Tubingen</t>
  </si>
  <si>
    <t>Micheels, A (corresponding author), Univ Tubingen, Inst Geowissensch, Sigwartstr 10, D-72076 Tubingen, Germany.</t>
  </si>
  <si>
    <t>arne.micheels@uni-tuebingen.de</t>
  </si>
  <si>
    <t>Micheels, Arne/B-4773-2011; Mosbrugger, Volker/A-5469-2009</t>
  </si>
  <si>
    <t>AUG 29</t>
  </si>
  <si>
    <t>10.1016/j.palaeo.2006.03.037</t>
  </si>
  <si>
    <t>080BF</t>
  </si>
  <si>
    <t>WOS:000240221100026</t>
  </si>
  <si>
    <t>Wilmouth, DM; Stimpfle, RM; Anderson, JG; Elkins, JW; Hurst, DF; Salawitch, RJ; Lait, LR</t>
  </si>
  <si>
    <t>Wilmouth, D. M.; Stimpfle, R. M.; Anderson, J. G.; Elkins, J. W.; Hurst, D. F.; Salawitch, R. J.; Lait, L. R.</t>
  </si>
  <si>
    <t>Evolution of inorganic chlorine partitioning in the Arctic polar vortex</t>
  </si>
  <si>
    <t>IN-SITU MEASUREMENTS; PLUS CLO REACTION; LOWER STRATOSPHERE; OZONE LOSS; NASA ER-2; PRODUCT FORMATION; ANTARCTIC OZONE; HO2; OH; RADICALS</t>
  </si>
  <si>
    <t>The first simultaneous, in situ atmospheric measurements of ClO, ClOOCl, ClONO2, and HCl, which together nearly compose total inorganic chlorine, Cl-y, were obtained using the NASA ER-2 aircraft, deployed from Kiruna, Sweden, during the SOLVE/THESEO mission. These chlorine measurements, along with Cly inferred from in situ measurements of organic chlorine source gases, offer an unprecedented opportunity to observe chlorine activation and recovery in the polar winter stratosphere and evaluate the inorganic chlorine budget, i.e., a test of the quantitative agreement between the sum of ClOx (ClO + 2 x ClOOCl), ClONO2, and HCl with Cl-y. Inside the Arctic vortex, inorganic chlorine is rarely fully activated with ClOx/Cl-y ranging from approximately 0.25 to 0.90. An apparent discrepancy in the inorganic chlorine budget for much of the midwinter correlates well with back trajectory solar zenith angle minimum and is consistent with the presence of Cl-2, which was not observable. Evaluation of the midwinter inorganic chlorine budget, excluding data where Cl-2 is present, yields (ClOx + ClONO2 + HCl)/Cl-y = 0.94 +/- 0.07. In contrast, a shortfall in the late winter inorganic chlorine budget is the result of an apparent low bias in the HCl measurements. A diurnal box model constructed to analyze chlorine recovery rates highlights the importance of not only the Cl + CH4 reaction in HCl formation, but also OH + ClO and potentially HO2 + ClO. We find that significant HCl production accompanied net ClONO2 production in the inorganic chlorine recovery phase of this Arctic winter.</t>
  </si>
  <si>
    <t>Harvard Univ, Dept Chem &amp; Biol Chem, Cambridge, MA 02138 USA; NOAA, Global Monitoring Div, Earth Syst Res Lab, Boulder, CO 80305 USA; CALTECH, Jet Prop Lab, Pasadena, CA 91109 USA; NASA, Goddard Space Flight Ctr, Greenbelt, MD 20771 USA</t>
  </si>
  <si>
    <t>Harvard University; National Oceanic Atmospheric Admin (NOAA) - USA; National Aeronautics &amp; Space Administration (NASA); NASA Jet Propulsion Laboratory (JPL); California Institute of Technology; National Aeronautics &amp; Space Administration (NASA); NASA Goddard Space Flight Center</t>
  </si>
  <si>
    <t>Wilmouth, DM (corresponding author), Harvard Univ, Dept Chem &amp; Biol Chem, Cambridge, MA 02138 USA.</t>
  </si>
  <si>
    <t>wilmouth@huarp.harvard.edu</t>
  </si>
  <si>
    <t>Salawitch, Ross/B-4605-2009; Hurst, Dale/D-1554-2016; HURST, DALE/AAC-9948-2022</t>
  </si>
  <si>
    <t>Hurst, Dale/0000-0002-6315-2322; HURST, DALE/0000-0002-6315-2322</t>
  </si>
  <si>
    <t>AUG 25</t>
  </si>
  <si>
    <t>D16308</t>
  </si>
  <si>
    <t>10.1029/2005JD006951</t>
  </si>
  <si>
    <t>078KA</t>
  </si>
  <si>
    <t>WOS:000240100400007</t>
  </si>
  <si>
    <t>Kim, S; Narayanan, D</t>
  </si>
  <si>
    <t>Kim, Sungeun; Narayanan, Desika</t>
  </si>
  <si>
    <t>[CI] 809 GHz Imaging of the NGC 6334 complex</t>
  </si>
  <si>
    <t>PUBLICATIONS OF THE ASTRONOMICAL SOCIETY OF JAPAN</t>
  </si>
  <si>
    <t>ISM : dissociation regions; ISM : lines; submillimeter : lines</t>
  </si>
  <si>
    <t>FAR-INFRARED SOURCE; X-RAY-EMISSION; NGC 6334; PHOTODISSOCIATION REGIONS; STAR-FORMATION; MOLECULAR CLOUD; GAS</t>
  </si>
  <si>
    <t>We present Antarctic Submillimeter Telescope and Remote Observatory (AST/RO) observations of submillimeter emissions from the NGC 6334 complex for both the (12)[C I] P-3(2) -&gt; P-3(1) fine-structure line of atomic carbon and the (CO)-C-12 J = 4 -&gt; 3 rotational transition of CO. We detected strong (12)[C I] P-3(2) -&gt; P-3(1) emission from the entire star-forming NGC 6334 complex, and present maps of (12)[C I] P-3(2) -&gt; P-3(1) emission and (CO)-C-12 J = 4 -&gt; 3 emission. Comparing these maps with archival ASCA data, we show that, to the south of NGC 6334, the [C I] emissions are likely to be associated with strong X-ray emissions from the FIR sources. However, the calculation using the X-ray dissociation region model shows that the majority of the [C I] emission can not arise from X-ray dissociation of the cloud. Alternatively, far-ultraviolet radiation produced in the photodissociation regions is expected to contribute to dissociate the carbon monoxide in the NGC 6334 complex.</t>
  </si>
  <si>
    <t>Sejong Univ, Dept Astron &amp; Space Sci, Seoul 143747, South Korea; Harvard Smithsonian Ctr Astrophys, Cambridge, MA 02138 USA</t>
  </si>
  <si>
    <t>Sejong University; Smithsonian Astrophysical Observatory; Harvard University; Smithsonian Institution</t>
  </si>
  <si>
    <t>Kim, S (corresponding author), Sejong Univ, Dept Astron &amp; Space Sci, 98 Kwangjin, Seoul 143747, South Korea.</t>
  </si>
  <si>
    <t>skim@arcsec.sejong.ac.kr</t>
  </si>
  <si>
    <t>Kim, Sungeun/AAH-3658-2021</t>
  </si>
  <si>
    <t>Kim, Sungeun/0000-0002-7558-8502; Narayanan, Desika/0000-0002-7064-4309</t>
  </si>
  <si>
    <t>0004-6264</t>
  </si>
  <si>
    <t>2053-051X</t>
  </si>
  <si>
    <t>PUBL ASTRON SOC JPN</t>
  </si>
  <si>
    <t>Publ. Astron. Soc. Jpn.</t>
  </si>
  <si>
    <t>10.1093/pasj/58.4.753</t>
  </si>
  <si>
    <t>082GZ</t>
  </si>
  <si>
    <t>WOS:000240376000011</t>
  </si>
  <si>
    <t>Riaux-Gobin, C; Fontugne, M; Jensen, KG; Bentaleb, I; Cauwet, G; Chrétiennot-Dinet, MJ; Poisson, A</t>
  </si>
  <si>
    <t>Riaux-Gobin, C.; Fontugne, M.; Jensen, K. G.; Bentaleb, I.; Cauwet, G.; Chretiennot-Dinet, M. -J.; Poisson, A.</t>
  </si>
  <si>
    <t>Surficial deep-sea sediments across the polar frontal system (Southern Ocean, Indian sector):: Particulate carbon content and microphyte signatures</t>
  </si>
  <si>
    <t>deep-sea sediments; Polar frontal system; pigments; delta(13) C-org (%0); Chaetoceros resting spores; coccoliths</t>
  </si>
  <si>
    <t>ANTHROPOGENIC CO2 INVASION; SINKING ORGANIC-MATTER; MARINE PLANKTON; ISOTOPIC FRACTIONATION; SURFACE OCEAN; WATER; TEMPERATURE; DELTA-C-13; PHYTOPLANKTON; PARTICLES</t>
  </si>
  <si>
    <t>Two main subjects are addressed in this study, concerning a complex Sub Antarctic hydrological system during the ANTARES I-MD75 cruise (Southern Ocean, Indian sector): (1) the delta C-13(org) signature in waters, fluffs and sediments and their relationships with anthropogenic effects, and (2) the degree of preservation of the deep-sea phytodetritus. A North to South gradient was observed for the deep-sea microphytes signatures, with the higher concentrations in the higher latitude: Chaetoceros spores (dominant species: Chaetoceros cf neglectus) were abundant in the fluffy layers from the Permanent Open Ocean Zone (POOZ), and associated with the highest Chl a concentration. The diatom spores were absent in the northern part of that transect. The coccolith repartition and preservation also showed a latitudinal gradient. The presence of coccoliths, more or less intact below the lysocline, may result from different sedimentation rates along this gradient. Undisturbed and thick fluffs, in the POOZ and southern Polar Frontal Zone stations, were enriched with coccoliths and Chaetoceros resting spores even at 4700 m, and the revival experiments demonstrated their recent origin, via a possible in mass or in pulse sedimentation. A latitudinal gradient clearly appeared for delta C-13(org), POC and chloropigments, with a relationship between delta C-13(org) and Chl a, direct/positive for the phytoplankton and indirect/negative for the fluffs and sediments. These observed gradients are in part attributed to the latitudinal effects and to the physical characteristic of the water bodies. Differences between plankton and sediment delta C-13(org) signatures are attributed to an anthropogenic influence; however, diagenetic processes leading to slight delta C-13(org) enrichment in sediments, cannot be absolutely rejected at this stage. A stronger deep northward advection to the north of the Polar Front may also in part explain these North to South bio-geochemical deep-sea gradients. (c) 2006 Elsevier B.V. All rights reserved.</t>
  </si>
  <si>
    <t>Lab Arago, CNRS, UMR 7621, LOB, F-66651 Banyuls sur Mer, France; CEA, CNRS, UMR 1572, LSCE, F-91198 Gif Sur Yvette, France; Univ Copenhagen, Dept Mycol &amp; Phycol, BI, DK-2400 Copenhagen, Denmark; USTL, UMR 5554, ISE Montpellier, Lab Phylogenie Paleontol Paleobiol, F-34095 Montpellier 5, France; Univ Paris 06, IPSL, LBCM, F-75252 Paris 05, France</t>
  </si>
  <si>
    <t>Centre National de la Recherche Scientifique (CNRS); CNRS - National Institute for Earth Sciences &amp; Astronomy (INSU); Universite Paris Saclay; CEA; Centre National de la Recherche Scientifique (CNRS); University of Copenhagen; Centre National de la Recherche Scientifique (CNRS); Institut de Recherche pour le Developpement (IRD); Universite de Montpellier; CNRS - Institute of Ecology &amp; Environment (INEE); Universite Paris Cite; Sorbonne Universite</t>
  </si>
  <si>
    <t>Riaux-Gobin, C (corresponding author), Lab Arago, CNRS, UMR 7621, LOB, BP 44, F-66651 Banyuls sur Mer, France.</t>
  </si>
  <si>
    <t>catherine.riaux-gobin@obs-banyuls.fr</t>
  </si>
  <si>
    <t>Bentaleb, Ilham/AAD-8137-2019; Jensen, Karsten/AAI-2371-2021</t>
  </si>
  <si>
    <t>Jensen, Karsten/0000-0002-3996-1664; Bentaleb, Ilham/0000-0002-6023-7929</t>
  </si>
  <si>
    <t>AUG 24</t>
  </si>
  <si>
    <t>10.1016/j.margeo.2006.04.005</t>
  </si>
  <si>
    <t>079CF</t>
  </si>
  <si>
    <t>WOS:000240152400001</t>
  </si>
  <si>
    <t>Whittaker, JM; Müller, RD</t>
  </si>
  <si>
    <t>Whittaker, Joanne M.; Muller, R. Dietmar</t>
  </si>
  <si>
    <t>Seismic stratigraphy of the Adare Trough area, Antarctica</t>
  </si>
  <si>
    <t>sedimentary; Antarctica; seismic; palcoceanography</t>
  </si>
  <si>
    <t>SOUTHERN VICTORIA-LAND; TRANSANTARCTIC MOUNTAINS; WEST ANTARCTICA; ROSS SEA; WATER MASSES; UPPER-MANTLE; EAST; MARGIN; MOTION; PLATE</t>
  </si>
  <si>
    <t>The Adare Trough, located 100 km NE of Cape Adare, Antarctica, is the extinct third arm of a Tertiary spreading ridge that separated East from West Antarctica. We use seismic reflection data, tied to DSDP Site 274, to link our seismic stratigraphic interpretation to changes in ocean-bottom currents, Ross Sea ice cover, and regional tectonics through time. Two extended unconformities are observed in the seismic profiles. We suggest that the earliest hiatus (early Oligocene to Mid-Miocene) is related to low sediment supply from the adjacent Ross Shelf, comprised of small, isolated basins. The later hiatus (mid-Miocene to late Miocene) is likely caused by strong bottom currents sourced from the open-marine Ross Sea due to increased Antarctic glaciation induced by mid-Miocene cooling (from Mi-3). Further global cooling during the Pliocene, causing changes in global ocean circulation patterns, correlates with Adare Basin sediments and indicate the continuing but weakened influence of bottom currents. The contourite/turbidite pattern present in the Adare Trough seismic data is consistent with the 3-phase contourite growth system proposed for the Weddell Sea and Antarctic Peninsula. Multibeam bathymetry and seismic reflection profiles show ubiquitous volcanic cones and intrusions throughout the Adare Basin that we interpret to have formed from the Oligocene to the present. Seismic reflection profiles reveal trans-tensional/strike-slip faults that indicate oblique extension dominated Adare Trough tectonics at 32-15 Ma. Observed volcanism patterns and anomalously shallow basement depth in the Adare Trough area are most likely caused by mantle upwelling, an explanation supported by mantle density reconstructions, which show anomalously hot mantle beneath the Adare Trough area forming in the Late Tertiary. (c) 2006 Elsevier B.V. All rights reserved.</t>
  </si>
  <si>
    <t>Univ Sydney, Sch Geosci, Sydney, NSW 2006, Australia</t>
  </si>
  <si>
    <t>University of Sydney</t>
  </si>
  <si>
    <t>Whittaker, JM (corresponding author), Univ Sydney, Sch Geosci, Sydney, NSW 2006, Australia.</t>
  </si>
  <si>
    <t>jo@geosci.usyd.edu.au</t>
  </si>
  <si>
    <t>Müller, Dietmar/L-1200-2019; Whittaker, Joanne/B-3695-2010</t>
  </si>
  <si>
    <t>Müller, Dietmar/0000-0002-3334-5764; Whittaker, Joanne/0000-0002-3170-3935</t>
  </si>
  <si>
    <t>10.1016/j.margeo.2006.05.002</t>
  </si>
  <si>
    <t>WOS:000240152400003</t>
  </si>
  <si>
    <t>Jiménez, C; Pumphrey, HC; MacKenzie, IA; Manney, GL; Santee, ML; Schwartz, MJ; Harwood, RS; Waters, JW</t>
  </si>
  <si>
    <t>Jimenez, C.; Pumphrey, H. C.; MacKenzie, I. A.; Manney, G. L.; Santee, M. L.; Schwartz, M. J.; Harwood, R. S.; Waters, J. W.</t>
  </si>
  <si>
    <t>EOS MLS observations of dehydration in the 2004-2005 polar winters</t>
  </si>
  <si>
    <t>AURA SATELLITE; STRATOSPHERE; VORTEX</t>
  </si>
  <si>
    <t>Observations of water vapour and temperature from the Earth Observing System Microwave Limb Sounder are used to study dehydration in the 2004 and 2005 polar vortices. Significant differences were found for the Antarctic winters, with the 2005 vortex colder and more extensively dehydrated. For the 2005 winter water vapour reductions were observed from mid-June, coincident with a decrease in temperatures, extending vertically between similar to 12-21 km. Reductions of up to similar to 3 ppmv in water vapour were recorded a month later. Permanent dehydration was apparent between similar to 15-20 km, where 3 months later the temperature recovery was not followed by a recovery in water vapour. The 2004-2005 Arctic winter was unusually cold, but only one single event of depleted water vapour at the end of January was linked to ice formation. For this event, a reduction of up to similar to 0.5 ppmv was observed over Spitsbergen between similar to 12-20 km.</t>
  </si>
  <si>
    <t>Univ Edinburgh, Sch Geosci, Edinburgh EH9 3JN, Midlothian, Scotland; CALTECH, Jet Prop Lab, Pasadena, CA 91109 USA; New Mexico Inst Min &amp; Technol, Dept Phys, Socorro, NM 87801 USA</t>
  </si>
  <si>
    <t>University of Edinburgh; National Aeronautics &amp; Space Administration (NASA); NASA Jet Propulsion Laboratory (JPL); California Institute of Technology; New Mexico Institute of Mining Technology</t>
  </si>
  <si>
    <t>Jiménez, C (corresponding author), Univ Edinburgh, Sch Geosci, Crew Bldg,Mayfield Rd, Edinburgh EH9 3JN, Midlothian, Scotland.</t>
  </si>
  <si>
    <t>carlos.jimenez@ed.ac.uk</t>
  </si>
  <si>
    <t>Schwartz, Michael J/F-5172-2016; Manney, Gloria/JED-7207-2023; Pumphrey, Hugh/S-2969-2019; Santee, MIchelle/R-5762-2019; mackenzie, ian a/E-9320-2013</t>
  </si>
  <si>
    <t>Pumphrey, Hugh/0000-0003-0747-1457;</t>
  </si>
  <si>
    <t>Natural Environment Research Council [NER/A/S/2001/01177, NE/D012538/1] Funding Source: researchfish; NERC [NE/D012538/1] Funding Source: UKRI</t>
  </si>
  <si>
    <t>AUG 23</t>
  </si>
  <si>
    <t>L16806</t>
  </si>
  <si>
    <t>10.1029/2006GL025926</t>
  </si>
  <si>
    <t>078JP</t>
  </si>
  <si>
    <t>WOS:000240099300001</t>
  </si>
  <si>
    <t>Schneider, W; Bravo, L</t>
  </si>
  <si>
    <t>Schneider, Wolfgang; Bravo, Luis</t>
  </si>
  <si>
    <t>Argo profiling floats document Subantarctic Mode Water formation west of Drake Passage</t>
  </si>
  <si>
    <t>INTERMEDIATE WATER; RENEWAL</t>
  </si>
  <si>
    <t>Subantarctic Mode Water (SAMW), the precursor of Antarctic Intermediate Water, which occupies the 600 to 1100 m layer of the water column in the oceans of the southern hemisphere, is formed in the southern oceans north of the Polar Frontal Zone (56 degrees- 60 degrees S), where saltier upper deep water is upwelled close to the surface. The surface layer there, in contrast, is determined by fresher water which occupies about the upper 100 m of the water column during austral summer. Surface cooling during austral winter initiate vertical convection which supposedly homogenizes several hundreds of meters of the upper water column, hereby transforming saltier upper deep water to lighter SAMW by incorporating fresh Subantarctic Surface Water. Here we show the formation process of SAMW west of Drake Passage as documented by autonomous profiling floats. Vertical convection exceeds 500 m during September and October but only south of 56 degrees S.</t>
  </si>
  <si>
    <t>Univ Concepcion, Dept Oceanog, Concepcion, Chile; Univ Concepcion, Ctr Invest Oceanog Pacifico Sur Oriental, Concepcion, Chile</t>
  </si>
  <si>
    <t>Universidad de Concepcion; Universidad de Concepcion</t>
  </si>
  <si>
    <t>Schneider, W (corresponding author), Univ Concepcion, Dept Oceanog, Barrio Univ S-N,Casilla Postal 160-C, Concepcion, Chile.</t>
  </si>
  <si>
    <t>wschneid@udec.cl; lbravo@copas.udec.cl</t>
  </si>
  <si>
    <t>Bravo, Luis/0000-0002-2772-504X</t>
  </si>
  <si>
    <t>L16609</t>
  </si>
  <si>
    <t>10.1029/2006GL026463</t>
  </si>
  <si>
    <t>WOS:000240099300003</t>
  </si>
  <si>
    <t>Virkkula, A; Teinilä, K; Hillamo, R; Kerminen, VM; Saarikoski, S; Aurela, M; Viidanoja, J; Paatero, J; Koponen, IK; Kulmala, M</t>
  </si>
  <si>
    <t>Virkkula, A.; Teinila, K.; Hillamo, R.; Kerminen, V. -M.; Saarikoski, S.; Aurela, M.; Viidanoja, J.; Paatero, J.; Koponen, I. K.; Kulmala, M.</t>
  </si>
  <si>
    <t>Chemical composition of boundary layer aerosol over the Atlantic Ocean and at an Antarctic site</t>
  </si>
  <si>
    <t>SEA-SALT SULFATE; NUMBER SIZE DISTRIBUTIONS; MARINE AEROSOL; NORTH-ATLANTIC; UNITED-STATES; DIMETHYL SULFIDE; TRACE-ELEMENTS; ORGANIC-MASS; INDIAN-OCEAN; AIR</t>
  </si>
  <si>
    <t>Aerosol chemical composition was measured over the Atlantic Ocean in November - December 1999 and at the Finnish Antarctic research station Aboa in January 2000. The concentrations of all anthropogenic aerosol compounds decreased clearly from north to south. An anthropogenic influence was still evident in the middle of the tropical South Atlantic, background values were reached south of Cape Town. Chemical mass apportionment was calculated for high volume filter samples ( D(p)&lt; 3 mu m). North of the equator 70 - 80% of the aerosol consisted of non-sea-salt species. The contribution of sea salt was similar to 25% in the polluted latitudes, &gt; 80% in the Southern Ocean, and &lt; 10% at Aboa. The contribution of organic carbon was &gt; 10% in most samples, also at Aboa. The correlation of biomass-burning-related aerosol components with (210)Pb was very high compared with that between nss calcium and (210)Pb which suggests that (210)Pb is a better tracer for biomass burning than for Saharan dust. The ratio of the two clear tracers for biomass burning, nss potassium and oxalate, was different in European and in African samples, suggesting that this ratio could be used as an indicator of biomass burning type. The concentrations of continent-related particles decreased exponentially with the distance from Africa. The shortest half-value distance, similar to 100 km, was for nss calcium. The half-value distance of particles that are mainly in the submicron particles was similar to 700 +/- 200 km. The MSA to nss sulfate ratio, R, increased faster than MSA concentration with decreasing anthropogenic influence, indicating that the R increase could largely be explained by the decrease of anthropogenic sulfate.</t>
  </si>
  <si>
    <t>Finnish Meteorol Inst, Helsinki 00560, Finland; Univ Helsinki, Dept Chem, Analyt Chem Lab, FIN-00014 Helsinki, Finland; Univ Copenhagen, Dept Chem, DK-2100 Copenhagen, Denmark; Univ Helsinki, Dept Atmospher Sci, Aerosol &amp; Environm Phys Lab, FIN-00014 Helsinki, Finland</t>
  </si>
  <si>
    <t>Finnish Meteorological Institute; University of Helsinki; University of Copenhagen; University of Helsinki</t>
  </si>
  <si>
    <t>Virkkula, A (corresponding author), Finnish Meteorol Inst, Helsinki 00560, Finland.</t>
  </si>
  <si>
    <t>aki.virkkula@fmi.fi</t>
  </si>
  <si>
    <t>Kerminen, Veli-Matti/M-9026-2014; Viidanoja, Jyrki/HSF-2354-2023; Aurela, Mika/L-4724-2014; Saarikoski, Sanna/M-9529-2019; Saarikoski, Sanna/A-6706-2015; Virkkula, Aki/B-8575-2014; Kulmala, Markku/I-7671-2016</t>
  </si>
  <si>
    <t>Aurela, Mika/0000-0002-4046-7225; Saarikoski, Sanna/0000-0002-6349-8016; Virkkula, Aki/0000-0003-4874-7552; Kulmala, Markku/0000-0003-3464-7825; Paatero, Jussi/0000-0002-3262-1501; Viidanoja, Jyrki/0000-0001-9850-6197</t>
  </si>
  <si>
    <t>AUG 21</t>
  </si>
  <si>
    <t>10.5194/acp-6-3407-2006</t>
  </si>
  <si>
    <t>075TI</t>
  </si>
  <si>
    <t>WOS:000239907700003</t>
  </si>
  <si>
    <t>Asgeirsson, B; Cekan, P</t>
  </si>
  <si>
    <t>Asgeirsson, Bjarni; Cekan, Pavol</t>
  </si>
  <si>
    <t>Microscopic rate-constants for substrate binding and acylation in cold-adaptation of trypsin I from Atlantic cod</t>
  </si>
  <si>
    <t>FEBS LETTERS</t>
  </si>
  <si>
    <t>cold-adaptation; psychrophilic; serine proteinase; kinetics; rate-constants; Gadus morhua</t>
  </si>
  <si>
    <t>COMPARATIVE MOLECULAR-DYNAMICS; SERINE PROTEASES; ACTIVE-SITE; PSYCHROPHILIC ENZYMES; BOVINE TRYPSINS; CATALYTIC TRIAD; ANTARCTIC FISH; GADUS-MORHUA; CHYMOTRYPSIN; SPECIFICITY</t>
  </si>
  <si>
    <t>Temperature imposes limits on where life can thrive and this is evident in the evolution of the basic structural properties of proteins. Cold-adaptation of enzymes is one example, where the catalytic rate constant (k(cat)) is increased compared with hot-acclimated homologous under identical assay conditions. Trypsin I from Atlantic cod (Gadus morhua) has catalytic efficiency (k(cat)/K-m) for amide hydrolysis that is 17-fold larger than observed for bovine trypsin. Here, the individual rate-constants for association of substrate (k(1)), dissociation of substrate (k(-1)), and acylation of the enzyme (k(2)) have been determined using benzoyl-Arg-p-nitroanilide or benzyloxycarbonyl-Gly-Pro-Arg-p-nitroanilide as substrates. Rather unexpectedly, by far the largest difference (37-fold increase) was observed in k(1), the rate constant for binding of substrate. The cold-adaptation of the dissociation and catalytic steps were not as prominent (increased by 3.7-fold). The length of substrate did have an effect by increasing the reaction rate by 70-fold, and again, the step most affected was the initial binding-step. (c) 2006 Federation of European Biochemical Societies. Published by Elsevier B.V. All rights reserved.</t>
  </si>
  <si>
    <t>Univ Iceland, Inst Sci, Dept Biochem, IS-107 Reykjavik, Iceland</t>
  </si>
  <si>
    <t>University of Iceland</t>
  </si>
  <si>
    <t>Asgeirsson, B (corresponding author), Univ Iceland, Inst Sci, Dept Biochem, Dunhaga 3, IS-107 Reykjavik, Iceland.</t>
  </si>
  <si>
    <t>bjarni@raunvis.hi.is</t>
  </si>
  <si>
    <t>Asgeirsson, Bjarni/E-3747-2015</t>
  </si>
  <si>
    <t>Asgeirsson, Bjarni/0000-0002-4275-2732; Cekan, Pavol/0000-0001-8806-9958</t>
  </si>
  <si>
    <t>0014-5793</t>
  </si>
  <si>
    <t>FEBS LETT</t>
  </si>
  <si>
    <t>FEBS Lett.</t>
  </si>
  <si>
    <t>10.1016/j.febslet.2006.07.043</t>
  </si>
  <si>
    <t>Biochemistry &amp; Molecular Biology; Biophysics; Cell Biology</t>
  </si>
  <si>
    <t>077YT</t>
  </si>
  <si>
    <t>WOS:000240068400014</t>
  </si>
  <si>
    <t>MacTavish, CJ; Ade, PAR; Bock, JJ; Bond, JR; Borrill, J; Boscaleri, A; Cabella, P; Contaldi, CR; Crill, BP; De Bernardis, P; De Gasperis, G; De Oliveira-Costa, A; De Troia, G; Di Stefano, G; Hivon, E; Jaffe, AH; Jones, WC; Kisner, TS; Lange, AE; Lewis, AM; Masi, S; Mauskopf, PD; Melchiorri, A; Montroy, TE; Natoli, P; Netterfield, CB; Pascale, E; Piacentini, F; Pogosyan, D; Polenta, G; Prunet, S; Ricciardi, S; Romeo, G; Ruhl, JE; Santini, P; Tegmark, M; Veneziani, M; Vittorio, N</t>
  </si>
  <si>
    <t>MacTavish, C. J.; Ade, P. A. R.; Bock, J. J.; Bond, J. R.; Borrill, J.; Boscaleri, A.; Cabella, P.; Contaldi, C. R.; Crill, B. P.; De Bernardis, P.; De Gasperis, G.; De Oliveira-Costa, A.; De Troia, G.; Di Stefano, G.; Hivon, E.; Jaffe, A. H.; Jones, W. C.; Kisner, T. S.; Lange, A. E.; Lewis, A. M.; Masi, S.; Mauskopf, P. D.; Melchiorri, A.; Montroy, T. E.; Natoli, P.; Netterfield, C. B.; Pascale, E.; Piacentini, F.; Pogosyan, D.; Polenta, G.; Prunet, S.; Ricciardi, S.; Romeo, G.; Ruhl, J. E.; Santini, P.; Tegmark, M.; Veneziani, M.; Vittorio, N.</t>
  </si>
  <si>
    <t>Cosmological parameters from the 2003 flight of BOOMERANG</t>
  </si>
  <si>
    <t>cosmic microwave background; cosmological parameters; polarization</t>
  </si>
  <si>
    <t>PROBE WMAP OBSERVATIONS; ANGULAR POWER SPECTRUM; GALAXY REDSHIFT SURVEY; HUBBLE-SPACE-TELESCOPE; TEMPERATURE ANISOTROPY; MICROWAVE; POLARIZATION; CMB; CONSTRAINTS</t>
  </si>
  <si>
    <t>We present the cosmological parameters from the CMB intensity and polarization power spectra of the 2003 Antarctic flight of the BOOMERANG telescope. The BOOMERANG data alone constrain the parameters of the Lambda CDM model remarkably well and are consistent with constraints from a multiexperiment combined CMB data set. We add LSS data from the 2dF and SDSS redshift surveys to the combined CMB data set and test several extensions to the standard model including running of the spectral index, curvature, tensor modes, the effect of massive neutrinos, and an effective equation of state for dark energy. We also include an analysis of constraints to a model that allows a CDM isocurvature admixture.</t>
  </si>
  <si>
    <t>Univ Toronto, Dept Phys, Toronto, ON M5S 1A7, Canada; Cardiff Univ, Sch Phys &amp; Astron, Cardiff CF24 3YB, Wales; CALTECH, Jet Prop Lab, Pasadena, CA 91109 USA; Univ Toronto, Canadian Inst Theoret Astrophys, Toronto, ON M5S 3H8, Canada; Univ Calif Berkeley, Lawrence Berkeley Lab, Natl Energy Res Sci Comp Ctr, Berkeley, CA 94720 USA; CNR, IFAC, I-50127 Florence, Italy; Univ Roma Tor Vergata, Dipartimento Fis, I-00133 Rome, Italy; Imperial Coll Sch Med, Dept Phys, London SW7 2BW, England; CALTECH, Ctr Infrared Proc &amp; Anal, Pasadena, CA 91125 USA; Univ Roma La Sapienza, Dipartimento Fis, I-00185 Rome, Italy; MIT, Dept Phys, Cambridge, MA 02139 USA; Ist Nazl Geofis &amp; Vulcanol, I-00143 Rome, Italy; CALTECH, Dept Phys, Pasadena, CA 91125 USA; Case Western Reserve Univ, Dept Phys, Cleveland, OH 44106 USA; Ist Nazl Fis Nucl, Sez Roma 1, I-00133 Rome, Italy; Ist Nazl Fis Nucl, Sez Roma 2, I-00133 Rome, Italy; Univ Toronto, Dept Astron &amp; Astrophys, Toronto, ON M5S 3H8, Canada; Univ Alberta, Dept Phys, Edmonton, AB T6G 2J1, Canada; Inst Astrophys, F-75014 Paris, France</t>
  </si>
  <si>
    <t>University of Toronto; Cardiff University; California Institute of Technology; National Aeronautics &amp; Space Administration (NASA); NASA Jet Propulsion Laboratory (JPL); University of Toronto; University of California System; University of California Berkeley; United States Department of Energy (DOE); Lawrence Berkeley National Laboratory; Consiglio Nazionale delle Ricerche (CNR); Istituto di Fisica Applicata Nello Carrara (IFAC-CNR); University of Rome Tor Vergata; Imperial College London; California Institute of Technology; Sapienza University Rome; Massachusetts Institute of Technology (MIT); Istituto Nazionale Geofisica e Vulcanologia (INGV); California Institute of Technology; University System of Ohio; Case Western Reserve University; Istituto Nazionale di Fisica Nucleare (INFN); Istituto Nazionale di Fisica Nucleare (INFN); University of Toronto; University of Alberta; Sorbonne Universite</t>
  </si>
  <si>
    <t>MacTavish, CJ (corresponding author), Univ Toronto, Dept Phys, 60 St George St, Toronto, ON M5S 1A7, Canada.</t>
  </si>
  <si>
    <t>ricciardi, sara/HNI-4024-2023; Melchiorri, Alessandro/AAD-1715-2020; Ruhl, John/HHS-2212-2022; Hivon, Eric/C-4298-2014; Piacentini, Francesco/E-7234-2010; de Gasperis, Giancarlo/C-8534-2012; jones, william C/AGJ-6132-2022; Pascale, Enzo/A-3665-2012; de Gasperis, Giancarlo/Q-6532-2019; Piacentini, Francesco/ABD-3434-2020; Jaffe, Andrew/D-3526-2009</t>
  </si>
  <si>
    <t>ricciardi, sara/0000-0002-3807-4043; Melchiorri, Alessandro/0000-0001-5326-6003; Ruhl, John/0000-0001-5875-4751; Hivon, Eric/0000-0003-1880-2733; Piacentini, Francesco/0000-0002-5444-9327; de Gasperis, Giancarlo/0000-0003-2899-2171; jones, william C/0000-0002-3636-1241; Pascale, Enzo/0000-0002-3242-8154; Masi, Silvia/0000-0001-5105-1439; Polenta, Gianluca/0000-0003-4067-9196; Crill, Brendan/0000-0002-4650-8518; Mauskopf, Philip/0000-0001-6397-5516; de Bernardis, Paolo/0000-0001-6547-6446; ROMEO, Giovanni/0000-0002-5535-7803; Lewis, Antony/0000-0001-5927-6667; Contaldi, Carlo/0000-0001-7285-0707; Santini, Paola/0000-0002-9334-8705; Vittorio, Nicola/0000-0001-6997-635X; Prunet, Simon/0000-0002-1755-4582</t>
  </si>
  <si>
    <t>STFC [PP/D001048/1] Funding Source: UKRI</t>
  </si>
  <si>
    <t>STFC(UK Research &amp; Innovation (UKRI)Science &amp; Technology Facilities Council (STFC))</t>
  </si>
  <si>
    <t>TEMPLE CIRCUS, TEMPLE WAY, BRISTOL BS1 6BE, ENGLAND</t>
  </si>
  <si>
    <t>1538-4357</t>
  </si>
  <si>
    <t>AUG 20</t>
  </si>
  <si>
    <t>10.1086/505558</t>
  </si>
  <si>
    <t>074RR</t>
  </si>
  <si>
    <t>Bronze, Green Submitted, Green Accepted</t>
  </si>
  <si>
    <t>WOS:000239830000007</t>
  </si>
  <si>
    <t>Montroy, TE; Ade, PAR; Bock, JJ; Bond, JR; Borrill, J; Boscaleri, A; Cabella, P; Contaldi, CR; Crill, BP; De Bernardis, P; De Gasperis, G; De Oliveira-Costa, A; De Troia, G; Di Stefano, G; Hivon, E; Jaffe, AH; Kisner, TS; Jones, WC; Lange, AE; Masi, S; Mauskopf, PD; MacTavish, CJ; Melchiorri, A; Natoli, P; Netterfield, CB; Pascale, E; Piacentini, F; Pogosyan, D; Polenta, G; Prunet, S; Ricciardi, S; Romeo, G; Ruhl, JE; Santini, P; Tegmark, M; Veneziani, M; Vittorio, N</t>
  </si>
  <si>
    <t>Montroy, T. E.; Ade, P. A. R.; Bock, J. J.; Bond, J. R.; Borrill, J.; Boscaleri, A.; Cabella, P.; Contaldi, C. R.; Crill, B. P.; De Bernardis, P.; De Gasperis, G.; De Oliveira-Costa, A.; De Troia, G.; Di Stefano, G.; Hivon, E.; Jaffe, A. H.; Kisner, T. S.; Jones, W. C.; Lange, A. E.; Masi, S.; Mauskopf, P. D.; MacTavish, C. J.; Melchiorri, A.; Natoli, P.; Netterfield, C. B.; Pascale, E.; Piacentini, F.; Pogosyan, D.; Polenta, G.; Prunet, S.; Ricciardi, S.; Romeo, G.; Ruhl, J. E.; Santini, P.; Tegmark, M.; Veneziani, M.; Vittorio, N.</t>
  </si>
  <si>
    <t>A measurement of the CMB {EE} spectrum from the 2003 flight of BOOMERANG</t>
  </si>
  <si>
    <t>cosmic microwave background; instrumentation : detectors</t>
  </si>
  <si>
    <t>ANGULAR POWER SPECTRUM; MICROWAVE BACKGROUND POLARIZATION; PROBE WMAP OBSERVATIONS; TEMPERATURE ANISOTROPY; RADIATION; EMISSION; RECEIVER</t>
  </si>
  <si>
    <t>We report measurements of the CMB polarization power spectra from the 2003 January Antarctic flight of BOOMERANG. The primary results come from 6 days of observation of a patch covering 0.22% of the sky centered near R.A. = 82.degrees 5, decl. = -45 degrees. The observations were made using four pairs of polarization- sensitive bolometers operating in bands centered at 145 GHz. Using two independent analysis pipelines, we measure a nonzero &lt; EE &gt; signal in the range 201 &lt; l &lt; 1000 with a significance of 4.8 alpha, a 2 alpha upper limit of 8.6 mu K-2 for any &lt; BB &gt; contribution, and a 2 sigma upper limit of 7.0 mu K-2 for the &lt; EB &gt; spectrum. Estimates of foreground intensity fluctuations and the nondetection of &lt; BB &gt; and &lt; EB &gt; signals rule out any significant contribution from Galactic foregrounds. The results are consistent with a Lambda CDM cosmology seeded by adiabatic perturbations. We note that this is the first detection of CMB polarization with bolometric detectors.</t>
  </si>
  <si>
    <t>Case Western Reserve Univ, Dept Phys, Cleveland, OH 44106 USA; Cardiff Univ, Sch Phys &amp; Astron, Cardiff CF24 3YB, Wales; CALTECH, Jet Prop Lab, Pasadena, CA 91109 USA; CALTECH, Pasadena, CA 91125 USA; Univ Toronto, Canadian Inst Theoret Astrophys, Toronto, ON M5S 3H8, Canada; Univ Calif Berkeley, Lawrence Berkeley Lab, Div Computat Res, Berkeley, CA 94720 USA; Univ Calif Berkeley, Space Sci Lab, Berkeley, CA 94720 USA; CNR, IFAC, I-50127 Florence, Italy; Univ Roma Tor Vergata, Dipartimento Fis, I-00133 Rome, Italy; Imperial Coll Sch Med, Theoret Phys Grp, London SW7 2BW, England; CALTECH, IPAC, Pasadena, CA 91125 USA; Univ Roma La Sapienza, Dipartimento Fis, I-00185 Rome, Italy; MIT, Dept Phys, Cambridge, MA 02139 USA; Ist Nazl Geofis &amp; Vulcanol, I-00143 Rome, Italy; Univ Calif Santa Barbara, Dept Phys, Santa Barbara, CA 93106 USA; Univ Toronto, Dept Phys, Toronto, ON M5S 3H8, Canada; Ist Nazl Fis Nucl, Sez Roma 1, I-00133 Rome, Italy; Ist Nazl Fis Nucl, Sez Roma 2, I-00133 Rome, Italy; Univ Toronto, Dept Astron &amp; Astrophys, Toronto, ON M5S 3H8, Canada; Univ Alberta, Dept Phys, Edmonton, AB T6G 2J1, Canada; Inst Astrophys, F-75014 Paris, France</t>
  </si>
  <si>
    <t>University System of Ohio; Case Western Reserve University; Cardiff University; California Institute of Technology; National Aeronautics &amp; Space Administration (NASA); NASA Jet Propulsion Laboratory (JPL); California Institute of Technology; University of Toronto; University of California System; University of California Berkeley; United States Department of Energy (DOE); Lawrence Berkeley National Laboratory; University of California System; University of California Berkeley; Consiglio Nazionale delle Ricerche (CNR); Istituto di Fisica Applicata Nello Carrara (IFAC-CNR); University of Rome Tor Vergata; Imperial College London; California Institute of Technology; Sapienza University Rome; Massachusetts Institute of Technology (MIT); Istituto Nazionale Geofisica e Vulcanologia (INGV); University of California System; University of California Santa Barbara; University of Toronto; Istituto Nazionale di Fisica Nucleare (INFN); Istituto Nazionale di Fisica Nucleare (INFN); University of Toronto; University of Alberta; Sorbonne Universite</t>
  </si>
  <si>
    <t>Montroy, TE (corresponding author), Case Western Reserve Univ, Dept Phys, 10900 Euclid Ave, Cleveland, OH 44106 USA.</t>
  </si>
  <si>
    <t>Piacentini, Francesco/E-7234-2010; Ruhl, John/HHS-2212-2022; ricciardi, sara/HNI-4024-2023; Jaffe, Andrew/D-3526-2009; jones, william C/AGJ-6132-2022; de Gasperis, Giancarlo/Q-6532-2019; de Gasperis, Giancarlo/C-8534-2012; Hivon, Eric/C-4298-2014; Piacentini, Francesco/ABD-3434-2020; Melchiorri, Alessandro/AAD-1715-2020; Pascale, Enzo/A-3665-2012</t>
  </si>
  <si>
    <t>Piacentini, Francesco/0000-0002-5444-9327; Ruhl, John/0000-0001-5875-4751; ricciardi, sara/0000-0002-3807-4043; jones, william C/0000-0002-3636-1241; de Gasperis, Giancarlo/0000-0003-2899-2171; Hivon, Eric/0000-0003-1880-2733; Melchiorri, Alessandro/0000-0001-5326-6003; Pascale, Enzo/0000-0002-3242-8154; Prunet, Simon/0000-0002-1755-4582; Vittorio, Nicola/0000-0001-6997-635X; Santini, Paola/0000-0002-9334-8705; Crill, Brendan/0000-0002-4650-8518; ROMEO, Giovanni/0000-0002-5535-7803; de Bernardis, Paolo/0000-0001-6547-6446; Contaldi, Carlo/0000-0001-7285-0707; Polenta, Gianluca/0000-0003-4067-9196; Mauskopf, Philip/0000-0001-6397-5516; Masi, Silvia/0000-0001-5105-1439</t>
  </si>
  <si>
    <t>10.1086/505560</t>
  </si>
  <si>
    <t>WOS:000239830000008</t>
  </si>
  <si>
    <t>Meredith, MP; Hogg, AM</t>
  </si>
  <si>
    <t>Meredith, Michael P.; Hogg, Andrew M.</t>
  </si>
  <si>
    <t>Circumpolar response of Southern Ocean eddy activity to a change in the Southern Annular Mode</t>
  </si>
  <si>
    <t>CIRCULATION; ALTIMETRY; TOPEX/POSEIDON; VARIABILITY; TOPOGRAPHY; FLUX; FLOW</t>
  </si>
  <si>
    <t>Analysis of satellite altimeter data reveals anomalously high Eddy Kinetic Energy ( EKE) in the Antarctic Circumpolar Current (ACC) during the period 2000 - 2002. Around 2 - 3 years earlier ( 1998), the circumpolar eastward wind stress ( as quantified by the Southern Annular Mode; SAM) showed a significant positive peak, and we have shown previously that the ACC peaked around 1998 in response. An eddy-resolving ocean model is used to investigate the delay between wind forcing and the eddy response, and demonstrates that the lag is due to the time taken to influence the deep circulation of the ACC. Winds over the Southern Ocean have shown a strong climatic increase over the past few decades. If this increase in winds is also reflected as an increase in eddy activity ( as our analysis suggests it might), then the increased poleward heat flux may have played a significant role in the observed warming of the Southern Ocean.</t>
  </si>
  <si>
    <t>British Antarctic Survey, Cambridge CB3 0ET, England; Australian Natl Univ, Res Sch Earth Sci, Canberra, ACT 0200, Australia</t>
  </si>
  <si>
    <t>UK Research &amp; Innovation (UKRI); Natural Environment Research Council (NERC); NERC British Antarctic Survey; Australian National University</t>
  </si>
  <si>
    <t>Meredith, MP (corresponding author), British Antarctic Survey, Madingley Rd, Cambridge CB3 0ET, England.</t>
  </si>
  <si>
    <t>mmm@bas.ac.uk; andy.hogg@anu.edu.au</t>
  </si>
  <si>
    <t>Hogg, Andy/AAZ-8733-2021; Hogg, Andy McC./A-7553-2011</t>
  </si>
  <si>
    <t>Hogg, Andy/0000-0001-5898-7635; Hogg, Andy McC./0000-0001-5898-7635; Meredith, Michael/0000-0002-7342-7756</t>
  </si>
  <si>
    <t>AUG 19</t>
  </si>
  <si>
    <t>L16608</t>
  </si>
  <si>
    <t>10.1029/2006GL026499</t>
  </si>
  <si>
    <t>076XN</t>
  </si>
  <si>
    <t>WOS:000239991800003</t>
  </si>
  <si>
    <t>Yamada, K; Ozaki, Y; Nakagawa, F; Sudo, S; Tsuruta, H; Yoshida, N</t>
  </si>
  <si>
    <t>Yamada, Keita; Ozaki, Yoko; Nakagawa, Fumiko; Sudo, Shigeto; Tsuruta, Haruo; Yoshida, Naohiro</t>
  </si>
  <si>
    <t>Hydrogen and carbon isotopic measurements of methane from agricultural combustion: Implications for isotopic signatures of global biomass burning sources</t>
  </si>
  <si>
    <t>ANTARCTIC ICE CORE; ATMOSPHERIC METHANE; GROWTH-RATE; TROPOSPHERIC METHANE; SOUTHERN-HEMISPHERE; CYCLE; C-13; FLUCTUATIONS; VEGETATION; EMISSIONS</t>
  </si>
  <si>
    <t>[ 1] The hydrogen and carbon isotope ratios of CH4 emitted from one bonfire and two laboratory combustions of agricultural residues were determined in this study as - 196 to - 262 parts per thousand for delta D and - 19.9 to - 35.1 parts per thousand for delta C-13. The isotopic difference between CH4 emitted from biomass burning and fuel biomass, that is, the apparent isotopic fractionation occurring during combustion (epsilon(Burn)), was within - 101 to - 174 parts per thousand for epsilon(D)(Burn) and + 6.9 to - 8.6 parts per thousand for epsilon(13C)(Burn). That difference varied according to burning conditions: flaming and smoldering. Variation in epsilon(Burn) is correlated with combustion efficiency (CE), defined here as the ratio of emitted CO2 to the sum of emitted CO2 and CO. In light of the previously reported global distributions of CE, the implied epsilon(Burn) values for global biomass burning sources were - 121 parts per thousand for epsilon(D)(Burn) and + 2.2 parts per thousand for epsilon(13C)(Burn). Using the relationship between epsilon(Burn) and CE and global distributions of CE and isotopic ratios of fuel biomass, we estimated the global isotopic signature for biomass burning sources as - 169 parts per thousand for delta D and - 23.6 parts per thousand for delta C-13.</t>
  </si>
  <si>
    <t>Tokyo Inst Technol, Interdisciplinary Grad Sch Sci &amp; Engn, Dept Environm Chem &amp; Engn, Yokohama, Kanagawa 2268502, Japan; Japan Sci &amp; Technol Corp, Solut Oriented Res Sci &amp; Technol Project, Kawaguchi, Japan; Tokyo Inst Technol, Interdisciplinary Grad Sch Sci &amp; Engn, Dept Environm Sci &amp; Technol, Yokohama, Kanagawa 2268502, Japan; Hokkaido Univ, Grad Sch Sci, Div Earth &amp; Planetary Sci, Kita Ku, Sapporo, Hokkaido 0600810, Japan; Natl Inst Agroenvironm Sci, Tsukuba, Ibaraki 3058604, Japan; Tokyo Inst Technol, Frontier Collaborat Res Ctr, Yokohama, Kanagawa 227, Japan</t>
  </si>
  <si>
    <t>Tokyo Institute of Technology; Japan Science &amp; Technology Agency (JST); Tokyo Institute of Technology; Hokkaido University; National Institute for Agro-Environmental Sciences (NIAES) Japan; Tokyo Institute of Technology</t>
  </si>
  <si>
    <t>Yamada, K (corresponding author), Tokyo Inst Technol, Interdisciplinary Grad Sch Sci &amp; Engn, Dept Environm Chem &amp; Engn, 4259 Nagatsuta, Yokohama, Kanagawa 2268502, Japan.</t>
  </si>
  <si>
    <t>kyamada@chemenv.titech.ac.jp</t>
  </si>
  <si>
    <t>Tsuruta, Haruo/M-7657-2014; Yoshida, Naohiro/A-8335-2010</t>
  </si>
  <si>
    <t>Yoshida, Naohiro/0000-0003-0454-3849; Sudo, Shigeto/0000-0003-4858-0190</t>
  </si>
  <si>
    <t>D16306</t>
  </si>
  <si>
    <t>10.1029/2005JD006750</t>
  </si>
  <si>
    <t>076XU</t>
  </si>
  <si>
    <t>WOS:000239992600001</t>
  </si>
  <si>
    <t>Moore, JC; Nishio, F; Fujita, S; Narita, H; Pasteur, E; Grinsted, A; Sinisalo, A; Maeno, N</t>
  </si>
  <si>
    <t>Moore, John C.; Nishio, Fumihiko; Fujita, Shuji; Narita, Hideki; Pasteur, Elizabeth; Grinsted, Aslak; Sinisalo, Anna; Maeno, Norikazu</t>
  </si>
  <si>
    <t>Interpreting ancient ice in a shallow ice core from the South Yamato (Antarctica) blue ice area using flow modeling and compositional matching to deep ice cores</t>
  </si>
  <si>
    <t>DRONNING MAUD LAND; MASS-BALANCE; SHEET; GREENLAND; CLIMATE; RECORD; CONDUCTIVITY; DYNAMICS; INLAND; SNOW</t>
  </si>
  <si>
    <t>[1] We explore methods of dating a 101 m ice core from a bare ice ablation area in the Yamato Mountains, Dronning Maud Land, East Antarctica. There are two unknowns, the age of the ice at the surface and the age spanned by the core. The ice crystal growth rate was used to estimate the age span of the core at about 5 kyr. CO2, CH4 and N2O data on the core were compared with well-dated records from deep cores, leading to two plausible matches, both within isotope stage C. Detailed comparison of high-resolution DEP records from this core and the Dome Fuji core support the 55 - 61 kyr BP fit best. Oxygen isotope values in the core were then used to constrain the source elevation of the snow in the core, and hence the velocities in a simple flow line model. We inverted the ice core surface age, age span and origin site and their confidence intervals in a sensitivity study of flow model parameter space. The flow line model predicts good matches to the core by reducing glacial flow rates to 70% of present-day, accumulation rates by 45% with 10% confidence intervals. The modeled surface age for the whole meteorite field yields maximum surface ages of about 90 kyr, which is consistent with known, but poorly constrained, tephra dating, meteorite terrestrial ages and the frequency of meteorite discoveries. This approach can be used quite generally to link deep ice cores to surface outcrops on blue ice fields.</t>
  </si>
  <si>
    <t>Univ Lapland, Arctic Ctr, Box 122, FIN-96101 Rovaniemi, Finland; Chiba Univ, Ctr Environm Remote Sensing, Chiba 2638522, Japan; Natl Inst Polar Res, Tokyo 1738515, Japan; Hokkaido Univ, Inst Low Temp Sci, Sapporo, Hokkaido 0600819, Japan; British Antarctic Survey, NERC, Cambridge CB3 0ET, England; Univ Oulu, Thule Inst, Oulu, Finland; Univ Oulu, Dept Geophys, Oulu, Finland; IceTech Japan Inc, Kita Ku, Tokyo 1140023, Japan</t>
  </si>
  <si>
    <t>University of Lapland; Chiba University; Research Organization of Information &amp; Systems (ROIS); National Institute of Polar Research (NIPR) - Japan; Hokkaido University; UK Research &amp; Innovation (UKRI); Natural Environment Research Council (NERC); NERC British Antarctic Survey; University of Oulu; University of Oulu</t>
  </si>
  <si>
    <t>Moore, JC (corresponding author), Univ Lapland, Arctic Ctr, Box 122, FIN-96101 Rovaniemi, Finland.</t>
  </si>
  <si>
    <t>john.moore@ulapland.fi</t>
  </si>
  <si>
    <t>Grinsted, Aslak/J-9273-2012; Moore, John C/B-2868-2013; Fujita, Shuji/A-7884-2016</t>
  </si>
  <si>
    <t>Grinsted, Aslak/0000-0003-1634-6009; Moore, John C/0000-0001-8271-5787; Fujita, Shuji/0000-0003-0127-0777; Sinisalo, Anna/0000-0002-7587-1877</t>
  </si>
  <si>
    <t>AUG 18</t>
  </si>
  <si>
    <t>D16302</t>
  </si>
  <si>
    <t>10.1029/2005JD006343</t>
  </si>
  <si>
    <t>076XS</t>
  </si>
  <si>
    <t>WOS:000239992400001</t>
  </si>
  <si>
    <t>Schwabe, E</t>
  </si>
  <si>
    <t>Schwabe, Enrico</t>
  </si>
  <si>
    <t>A new species of Bathylepeta Moskalev, 1977 (Mollusca: Gastropoda) from the Weddell Sea, Antarctica</t>
  </si>
  <si>
    <t>Patellogastropoda; Lepetidae; Bathylepeta; Weddell Sea; Antarctica; deep-water</t>
  </si>
  <si>
    <t>Among benthic mollusc samples from the abyssal of the Weddell Sea collected during the ANDEEP III Antarctic survey, a new lepetid species Bathylepeta linseae n. sp. was collected and is here described. The new species strongly resembles the only congener Bathylepeta laevis Moskalev, 1977 but differs in a more oval shell shape, the rectangular form of the radular basal plate and the smooth edges of the marginal teeth. The presence of a genital papilla is mentioned for the first time for this genus. Another similar Antarctic lepetid species Propilidium pelseneeri Thiele, 1912 is much smaller, lacks the genital papilla and the position of the apex is more posteriorly.</t>
  </si>
  <si>
    <t>Zool Staatssammlung Muenchen, D-81247 Munich, Germany</t>
  </si>
  <si>
    <t>Schwabe, E (corresponding author), Zool Staatssammlung Muenchen, Muenchhausenstr 21, D-81247 Munich, Germany.</t>
  </si>
  <si>
    <t>enrico.schwabe@zsm.mwn.de</t>
  </si>
  <si>
    <t>AUG 17</t>
  </si>
  <si>
    <t>074RD</t>
  </si>
  <si>
    <t>WOS:000239828600004</t>
  </si>
  <si>
    <t>Bhadury, P; Austen, MC; Bilton, DT; Lambshead, PJD; Rogers, AD; Smerdon, GR</t>
  </si>
  <si>
    <t>Bhadury, Punyasloke; Austen, Melanie C.; Bilton, David T.; Lambshead, P. John D.; Rogers, Alex D.; Smerdon, Gary R.</t>
  </si>
  <si>
    <t>Molecular detection of marine nematodes from environmental samples: overcoming eukaryotic interference</t>
  </si>
  <si>
    <t>marine nematodes; environmental DNA; ribosomal primers; denaturing gradient gel electrophoresis; DGGE; eukaryotic interference; diversity</t>
  </si>
  <si>
    <t>GEL-ELECTROPHORESIS DGGE; MULTIPLE SEQUENCE ALIGNMENT; FREE-LIVING NEMATODES; 18S RDNA; DNA-POLYMERASE; PCR FIDELITY; GC-CLAMP; DIVERSITY; ASSEMBLAGES; POPULATIONS</t>
  </si>
  <si>
    <t>Nematodes form an important and dominant component of many benthic marine ecosystems, but are frequently neglected by marine ecologists because of the time-consuming nature of their identification. Molecular techniques provide powerful tools for the rapid assessment of biodiversity, although few attempts have been made to apply these to marine meiofauna. We evaluated the success of 2 primer sets in amplifying nematode 18S rRNA from DNA templates extracted directly from marine and estuarine sediments. PCR products were separated using denaturing gradient gel electrophoresis (DGGE), and some of the intense DGGE bands were excised, cloned and sequenced to confirm their nematode origin. Initially, other eukaryotic 18S rRNA regions co-amplified with those from nematodes, possibly as a result of the high relative abundance and biomass of other organisms in the studied sediments. These problems were overcome by designing and evaluating consensus primers that selectively amplified nematode ribosomal regions from environmental DNA. Approximately 10 to 12 taxa from each site were detected in the denaturing gel in this study. Tentative affiliations of some the DGGE bands re-amplified using nematode-specific primers were determined by comparing with known marine nematode 18S rRNA sequences in a phylogenetic tree. Our study demonstrates for the first time that PCR combined with DGGE can be used to explore the community composition of many meiofaunal groups, such as nematodes, from DNA extracted directly from environmental samples.</t>
  </si>
  <si>
    <t>Plymouth Marine Lab, Plymouth PL1 3DH, Devon, England; Univ Plymouth, Sch Biol Sci, Plymouth PL4 8AA, Devon, England; Nat Hist Museum, Dept Zool, Nematode Res Grp, London SW7 5BD, England; British Antarctic Survey, Cambridge CB3 0ET, England</t>
  </si>
  <si>
    <t>Plymouth Marine Laboratory; University of Plymouth; Natural History Museum London; UK Research &amp; Innovation (UKRI); Natural Environment Research Council (NERC); NERC British Antarctic Survey</t>
  </si>
  <si>
    <t>Bhadury, P (corresponding author), Princeton Univ, Dept Geosci, Princeton, NJ 08544 USA.</t>
  </si>
  <si>
    <t>pbhadury@Princeton.edu</t>
  </si>
  <si>
    <t>Bhadury, Punyasloke/A-2355-2008; Austen, Melanie C/GLU-1418-2022; Smerdon, Gary/W-2035-2019; Lambshead, PJD/AAC-6757-2021</t>
  </si>
  <si>
    <t>Austen, Melanie C/0000-0001-8133-0498; Smerdon, Gary/0000-0003-1121-0778; Rogers, Alex David/0000-0002-4864-2980; Bilton, David/0000-0003-1136-0848; Bhadury, Punyasloke/0000-0001-8714-7475</t>
  </si>
  <si>
    <t>AUG 16</t>
  </si>
  <si>
    <t>10.3354/ame044097</t>
  </si>
  <si>
    <t>082KX</t>
  </si>
  <si>
    <t>WOS:000240386800009</t>
  </si>
  <si>
    <t>Folco, L; Welten, KC; Jull, AJT; Nishiizumi, K; Zeoli, A</t>
  </si>
  <si>
    <t>Folco, L.; Welten, K. C.; Jull, A. J. T.; Nishiizumi, K.; Zeoli, A.</t>
  </si>
  <si>
    <t>Meteorites constrain the age of Antarctic ice at the Frontier Mountain blue ice field (northern Victoria Land)</t>
  </si>
  <si>
    <t>FRO 84001; FRO 93005; FRO 93054; FRO 99028; Antarctic meteorites; terrestrial ages; ice dynamics; Frontier mountain; Antarctica</t>
  </si>
  <si>
    <t>H-CHONDRITE; COLLECTION; RECORD</t>
  </si>
  <si>
    <t>We show that meteorites can provide chronological constraints upon the age of the ice cropping out at the Frontier Mountain meteorite trap (Antarctica) when their terrestrial age is placed in a glaciological context. Amongst the over 700 meteorites found so far, Frontier Mountain (FRO) 84001, 99028, 93005 and 93054 were most likely not wind-drifted across the ice field, since their masses (772-1665 g) are much heavier than the local similar to 200 g wind transport threshold. The four meteorites were found along a stretch of ice where a representative section of the Frontier Mountain blue ice crops out. Based on the bedding of englacial tephra layers, the structure of the ice along the section appears to be essentially an up-glacier dipping monocline. The C-14 terrestrial age of FRO 8401, 99028 and 93005 are 13 +/- 2, 21 +/- 3 and 27 +/- 2 ky, respectively; the Ca-41/Cl-36 age of FRO 93054 is 40 +/- 10 ky. The terrestrial ages of the four meteorites increase from the top to the bottom layers of the monocline. This geographic distribution is best explained by delivery of meteorites at the ice surface through the ice-flow model (i.e., englacial transport from the snow accumulation zone and exhumation in the blue ice area through ablation) rather than direct fall. Since the effect of ablation in decoupling terrestrial ages of meteorites and the age of the ice on which they sit must have been minor (most likely :5 7 ky) based on the local ice dynamics, we conclude that the age of the bulk of the ice body currently under ablation at Frontier Mountain is up to similar to 50 ky old. This result has implications on both the meteorite concentrations mechanism at Frontier Mountain and the regional ice dynamics. (c) 2006 Elsevier B.V. All rights reserved.</t>
  </si>
  <si>
    <t>Univ Siena, Museo Nazl Antartide, Via Laterina 8, I-53100 Siena, Italy; Univ Calif Berkeley, Space Sci Lab, Berkeley, CA 94720 USA; Univ Arizona, NAF Arizona Accelerator Mass Spectrometry Facil, Tucson, AZ 85721 USA</t>
  </si>
  <si>
    <t>University of Siena; University of California System; University of California Berkeley; University of Arizona</t>
  </si>
  <si>
    <t>Folco, L (corresponding author), Univ Siena, Museo Nazl Antartide, Via Laterina 8, I-53100 Siena, Italy.</t>
  </si>
  <si>
    <t>folco@unisi.it</t>
  </si>
  <si>
    <t>Folco, Luigi/AAA-6351-2020; Folco, Luigi/AAB-8586-2021</t>
  </si>
  <si>
    <t>Folco, Luigi/0000-0002-7276-3483; Welten, Kees/0000-0001-8577-6753</t>
  </si>
  <si>
    <t>AUG 15</t>
  </si>
  <si>
    <t>10.1016/j.epsl.2006.05.022</t>
  </si>
  <si>
    <t>089AE</t>
  </si>
  <si>
    <t>WOS:000240851400017</t>
  </si>
  <si>
    <t>Shiller, AM; Bairamadgi, GR</t>
  </si>
  <si>
    <t>Shiller, Alan M.; Bairamadgi, Gautam Raj</t>
  </si>
  <si>
    <t>Dissolved gallium in the northwest Pacific and the south and central Atlantic Oceans: Implications for aeolian Fe input and a reconsideration of profiles</t>
  </si>
  <si>
    <t>gallium; lead; aluminum; dust; Atlantic ocean; northwest Pacific Ocean; oceanography : biological and chemical : trace elements; oceanography : biological and chemical : aerosols; oceanography : biological and chemical : chemical tracers</t>
  </si>
  <si>
    <t>BASE-LINE SURVEY; IOC STATIONS; DEEP-WATER; ALUMINUM; IRON; AL; LEAD; SEAWATER; SEA</t>
  </si>
  <si>
    <t>[1] The distribution of dissolved gallium, a less-reactive analogue of aluminum, has the potential to reveal information about the averaged dust input to the surface ocean and to complement studies using aluminum as a tracer. New data are presented here on the distribution of dissolved Ga, including six profiles in the south and central Atlantic as well as seven shallow and two deep profiles from the northwest Pacific. The Atlantic data allow for an estimate of Ga in Antarctic Bottom Water ( similar to 25 - 30 pmol kg(-1)) and show reasonably conservative behavior in deep waters. In the northwest Pacific, surface water Ga/Al ratios correlate with chlorophyll concentrations, probably reflecting the biogenic removal of dissolved Al and suggesting a possible means for estimating variation in surface water Al removal times. Also in the northwest Pacific, low surface water Ga in subpolar surface waters suggests low dust input, thereby providing an explanation for the high nutrient - low chlorophyll behavior of this environment. This low Ga subpolar water implies that North Pacific Intermediate Water is low in Ga and thus provides an advective explanation for the intermediate water Ga minimum observed in the temperate North Pacific. Surprisingly, the deepest waters sampled in the North Pacific have Ga concentrations similar to that estimated for circumpolar waters, thus indicating minimal reactivity of Ga in its northward transit in the deep Pacific.</t>
  </si>
  <si>
    <t>Univ So Mississippi, Dept Marine Sci, Stennis Space Ctr, MS 39529 USA</t>
  </si>
  <si>
    <t>University of Southern Mississippi</t>
  </si>
  <si>
    <t>Shiller, AM (corresponding author), Univ So Mississippi, Dept Marine Sci, 1020 Balch Blvd, Stennis Space Ctr, MS 39529 USA.</t>
  </si>
  <si>
    <t>alan.shiller@usm.edu</t>
  </si>
  <si>
    <t>Shiller, Alan/0000-0002-2068-7909</t>
  </si>
  <si>
    <t>Q08M09</t>
  </si>
  <si>
    <t>10.1029/2005GC001118</t>
  </si>
  <si>
    <t>076XG</t>
  </si>
  <si>
    <t>WOS:000239991100001</t>
  </si>
  <si>
    <t>Kuwabara, T; Bieber, JW; Clem, J; Evenson, P; Pyle, R; Munakata, K; Yasue, S; Kato, C; Akahane, S; Koyama, M; Fujii, Z; Duldig, ML; Humble, JE; Silva, MR; Trivedi, NB; Gonzalez, WD; Schuch, NJ</t>
  </si>
  <si>
    <t>Kuwabara, T.; Bieber, J. W.; Clem, J.; Evenson, P.; Pyle, R.; Munakata, K.; Yasue, S.; Kato, C.; Akahane, S.; Koyama, M.; Fujii, Z.; Duldig, M. L.; Humble, J. E.; Silva, M. R.; Trivedi, N. B.; Gonzalez, W. D.; Schuch, N. J.</t>
  </si>
  <si>
    <t>Real-time cosmic ray monitoring system for space weather</t>
  </si>
  <si>
    <t>CORONAL MASS EJECTIONS; MUON DETECTOR NETWORK; GEOMAGNETIC STORMS; FORBUSH DECREASES; CME-GEOMETRY; ANISOTROPY; PRECURSORS; SHOCK</t>
  </si>
  <si>
    <t>We have developed a real-time system to monitor high-energy cosmic rays for use in space weather forecasting and specification. Neutron monitors and muon detectors are used for our system, making it possible to observe cosmic rays with dual energy range observations. In large solar energetic particle (SEP) events, the ground level enhancement (GLE) can provide the earliest alert for the onset of the SEP event. The loss cone precursor anisotropy predicts the arrival of interplanetary shocks and the associated interplanetary coronal mass ejections (ICMEs), while the occurrence of bidirectional cosmic ray streaming indicates that Earth is within a large ICME. This article describes a set of real-time Web displays that clearly show the appearance of the GLE, loss cone precursor, and other space weather phenomena related to cosmic rays.</t>
  </si>
  <si>
    <t>Univ Delaware, Bartol Res Inst, Newark, DE 19716 USA; Univ Delaware, Dept Phys &amp; Astron, Newark, DE 19716 USA; Shinshu Univ, Dept Phys, Matsumoto, Nagano 3908621, Japan; Nagoya Univ, Solar Terr Environm Lab, Nagoya, Aichi 4648601, Japan; Australian Antarctic Div, Kingston, Tas 7050, Australia; Univ Tasmania, Sch Math &amp; Phys, Hobart, Tas 7001, Australia; Natl Inst Space Res, So Reg Space Res Ctr, BR-97105900 Santa Maria, RS, Brazil</t>
  </si>
  <si>
    <t>University of Delaware; University of Delaware; Shinshu University; Nagoya University; Australian Antarctic Division; University of Tasmania; Instituto Nacional de Pesquisas Espaciais (INPE)</t>
  </si>
  <si>
    <t>Kuwabara, T (corresponding author), Univ Delaware, Bartol Res Inst, Newark, DE 19716 USA.</t>
  </si>
  <si>
    <t>takao@bartol.udel.edu; john@bartol.udel.edu; clem@bartol.udel.edu; penguin@bartol.udel.edu; pyle@bartol.udel.edu; kmuna00@shinshu-u.ac.jp; shyasue@shinshu-u.ac.jp; ckato@corona.shinshu-u.ac.jp; sakahane@denshi.shinshu-u.ac.jp; mkoyama@shinshu-u.ac.jp; fujii@stelab.nagoya-u.ac.jp; marc.duldig@aad.gov.au; john.humble@utas.edu.au; marlos@lacesm.ufsm.br; trivedi@lacesm.ufsm.br; gonzalez@dge.inpe.br; njschuch@lacesm.ufsm.br</t>
  </si>
  <si>
    <t>Schuch, Nelson Jorge/K-9730-2015; Rockenbach, Marlos/C-1711-2012</t>
  </si>
  <si>
    <t>da Silva, Manoel Ribeiro/0000-0002-0559-9011; Duldig, Marcus/0000-0001-7463-8267; Humble, John/0000-0002-4698-1671; Rockenbach, Marlos/0000-0002-9737-9429</t>
  </si>
  <si>
    <t>S08001</t>
  </si>
  <si>
    <t>10.1029/2005SW000204</t>
  </si>
  <si>
    <t>077IY</t>
  </si>
  <si>
    <t>WOS:000240023700001</t>
  </si>
  <si>
    <t>Lemmen, C; Dameris, M; Müller, R; Riese, M</t>
  </si>
  <si>
    <t>Lemmen, Carsten; Dameris, Martin; Mueller, Rolf; Riese, Martin</t>
  </si>
  <si>
    <t>Chemical ozone loss in a chemistry-climate model from 1960 to 1999</t>
  </si>
  <si>
    <t>BALLOON-BORNE OBSERVATIONS; POLAR VORTEX; LOWER STRATOSPHERE; ARCTIC VORTEX; DEPLETION; TRANSPORT; WINTER; SIMULATION; IMPACT</t>
  </si>
  <si>
    <t>In the recent WMO assessment of ozone depletion, the minimum ozone column is used to assess the evolution of the polar ozone layer simulated in several chemistry-climate models (CCMs). The ozone column may be strongly influenced by changes in transport and is therefore not well-suited to identify changes in chemistry. The quantification of chemical ozone depletion can be achieved with tracer-tracer correlations (TRAC). For forty Antarctic winters ( 1960 - 1999), we present the seasonal chemical depletion simulated with the ECHAM4. L39(DLR)/CHEM model. Analyzing methane - ozone correlations, we find a mean chemical ozone loss of 80 +/- 10 DU during the 1990s, with a maximum of 94 DU. Compared to ozone loss deduced from HALOE measurements the model underestimates chemical loss by 37%. The average multidecadal trend in loss from 1960 to 1999 is 17 +/- 3 DU per decade. The largest contribution to this trend comes from the 62 +/- 11 DU ozone loss increase between the 1970s and 1990s.</t>
  </si>
  <si>
    <t>Deutsch Zentrum Luft &amp; Raumfahrt EV, Inst Phys Atmosphare, D-82234 Wessling, Germany; Forschungszentrum Julich, Inst Chem &amp; Dynam Geosphare ICGI Stratosphare, D-52425 Julich, Germany</t>
  </si>
  <si>
    <t>Helmholtz Association; German Aerospace Centre (DLR); Helmholtz Association; Research Center Julich</t>
  </si>
  <si>
    <t>Lemmen, C (corresponding author), Univ Utrecht, Copernicus Inst Duurzame Ontwikkeling Innovat, Sect Nat Wetenschappen Samenleving, NL-3508 TC Utrecht, Netherlands.</t>
  </si>
  <si>
    <t>c.lemmen@fz-juelich.de</t>
  </si>
  <si>
    <t>Riese, Martin/A-3927-2013; Lemmen, Carsten/C-4490-2008; Müller, Rolf/ABA-8213-2021</t>
  </si>
  <si>
    <t>Riese, Martin/0000-0001-6398-6493; Lemmen, Carsten/0000-0003-3483-6036; Müller, Rolf/0000-0002-5024-9977; Dameris, Martin/0000-0001-6700-0628</t>
  </si>
  <si>
    <t>AUG 12</t>
  </si>
  <si>
    <t>L15820</t>
  </si>
  <si>
    <t>10.1029/2006GL026939</t>
  </si>
  <si>
    <t>074BF</t>
  </si>
  <si>
    <t>WOS:000239786500007</t>
  </si>
  <si>
    <t>Hara, K; Iwasaka, Y; Wada, M; Ihara, T; Shiba, H; Osada, K; Yamanouchi, T</t>
  </si>
  <si>
    <t>Hara, K.; Iwasaka, Y.; Wada, M.; Ihara, T.; Shiba, H.; Osada, K.; Yamanouchi, T.</t>
  </si>
  <si>
    <t>Aerosol constituents and their spatial distribution in the free troposphere of coastal Antarctic regions</t>
  </si>
  <si>
    <t>GENERAL-CIRCULATION MODEL; SEA-SALT PARTICLES; ATMOSPHERIC DIMETHYLSULFIDE; ARCTIC TROPOSPHERE; SULFUR-DIOXIDE; BOUNDARY-LAYER; HEAVY-METALS; COATS LAND; DUST; ACID</t>
  </si>
  <si>
    <t>[1] Direct aerosol sampling of Antarctic aerosols was carried out in the free troposphere over Syowa (39.58 degrees E, 69.00 degrees S) and Mizuho (44.19 degrees E, 70.41 degrees S) stations in April and December 2000 for better understanding of aerosol constituents and their vertical distribution in the Antarctic troposphere. Individual aerosol particles were analyzed/ observed by means of a transmission electron microscope and a scanning electron microscope equipped with an energy dispersive X-ray spectrometer. Aerosol particles containing sulfur species ( probably H2SO4) were identified as the major aerosol particles in the Antarctic free troposphere, whereas sea-salt, mineral and anthropogenic particles were minor aerosol particles. Although H2SO4 and sea-salt particles were observed in the free troposphere during both April and December, mineral and anthropogenic particles were distributed only in December. Sea-salt particles show lower Cl/Na molar ratios relative to seawater because of Cl liberation. S/Na molar ratios of the particles are also low, suggesting that Cl- in the sea salt had been replaced by anions other than SO42- and CH3SO3-. The Cl liberation from sea-salt particles in the Antarctic free troposphere might have occurred via the heterogeneous reactions mainly involving reactive nitrogen oxides.</t>
  </si>
  <si>
    <t>Natl Inst Polar Res, Polar Meteorol &amp; Glaciol, Itabashi Ku, Tokyo 1738515, Japan; Nagoya Univ, Grad Sch Earth &amp; Environm Sci, Chikusa Ku, Aichi 4648601, Japan; Saga Univ, Fac Sci &amp; Engn, Dept Elect &amp; Elect Engn, Saga 8408502, Japan; Kochi Natl Coll Technol, Dept Elect Engn, Nango Ku, Kouchi 7838508, Japan</t>
  </si>
  <si>
    <t>Research Organization of Information &amp; Systems (ROIS); National Institute of Polar Research (NIPR) - Japan; Nagoya University; Saga University</t>
  </si>
  <si>
    <t>Hara, K (corresponding author), Natl Inst Polar Res, Polar Meteorol &amp; Glaciol, Itabashi Ku, 1-9-10 Kaga, Tokyo 1738515, Japan.</t>
  </si>
  <si>
    <t>harakei@pmg.nipr.ac.jp</t>
  </si>
  <si>
    <t>Hara, Keiichiro/N-8264-2018; Yamanouchi, Takashi/P-2041-2015; Osada, Kazuo/I-6395-2014</t>
  </si>
  <si>
    <t>Osada, Kazuo/0000-0003-3100-5835</t>
  </si>
  <si>
    <t>D15</t>
  </si>
  <si>
    <t>D15216</t>
  </si>
  <si>
    <t>10.1029/2005JD006591</t>
  </si>
  <si>
    <t>074BL</t>
  </si>
  <si>
    <t>WOS:000239787100002</t>
  </si>
  <si>
    <t>Fricker, HA; Padman, L</t>
  </si>
  <si>
    <t>Fricker, Helen Amanda; Padman, Laurie</t>
  </si>
  <si>
    <t>Ice shelf grounding zone structure from ICESat laser altimetry</t>
  </si>
  <si>
    <t>TIDAL FLEXURE; INTERFEROMETRY; ANTARCTICA; GREENLAND; GLACIER</t>
  </si>
  <si>
    <t>We present a technique for investigating the grounding zone (GZ) of Antarctic ice shelves using laser altimetry from the Ice, Cloud and land Elevation Satellite (ICESat). Most surface height variability in the GZ is easily resolved by the ICESat laser's similar to 65 m footprint and similar to 172 m along-track spacing. Comparisons of repeated tracks sampled at different phases of the ocean tide identify the landward and seaward limits of tide-forced ice flexure, providing GZ location and width information for each track. Using ICESat data in the Institute Ice Stream region of southern Ronne Ice Shelf, we demonstrate that the location of the GZ based on feature identification in satellite imagery or digital elevation models may be in error by several km. Our results show that ICESat will contribute significantly to improving knowledge of GZ structure and to studies requiring accurate GZ locations, e. g., ice mass balance calculations and ice-sheet/ocean modeling.</t>
  </si>
  <si>
    <t>Univ Calif San Diego, Scripps Inst Oceanog, Inst Geophys &amp; Planetary Phys, La Jolla, CA 92093 USA; Earth &amp; Space Res, Corvallis, OR 97333 USA</t>
  </si>
  <si>
    <t>Fricker, HA (corresponding author), Univ Calif San Diego, Scripps Inst Oceanog, Inst Geophys &amp; Planetary Phys, La Jolla, CA 92093 USA.</t>
  </si>
  <si>
    <t>hafricker@ucsd.edu</t>
  </si>
  <si>
    <t>Padman, Laurence/AAH-3808-2021</t>
  </si>
  <si>
    <t>Padman, Laurence/0000-0003-2010-642X</t>
  </si>
  <si>
    <t>AUG 11</t>
  </si>
  <si>
    <t>L15502</t>
  </si>
  <si>
    <t>10.1029/2006GL026907</t>
  </si>
  <si>
    <t>074BD</t>
  </si>
  <si>
    <t>WOS:000239786300008</t>
  </si>
  <si>
    <t>Field, CV; Schmidt, GA; Koch, D; Salyk, C</t>
  </si>
  <si>
    <t>Field, Christy V.; Schmidt, Gavin A.; Koch, Dorothy; Salyk, Colette</t>
  </si>
  <si>
    <t>Modeling production and climate-related impacts on 10Be concentration in ice cores</t>
  </si>
  <si>
    <t>COSMOGENIC-NUCLIDE PRODUCTION; STRATOSPHERE-TROPOSPHERE EXCHANGE; BERYLLIUM 10; ANTARCTIC ICE; ATMOSPHERIC TRANSPORT; CENTRAL GREENLAND; SOLAR MODULATION; COLD EVENT; ACCUMULATION; TEMPERATURE</t>
  </si>
  <si>
    <t>[ 1] The connection between the production of the cosmogenic isotope Be-10 and changes in heliomagnetic activity makes ice core Be-10 an attractive proxy for studying changes in solar output. However, interpreting Be-10 ice core records on centennial timescales is complicated by potential climate-related deposition changes that could obscure the Be-10 production signal. By using the Goddard Institute for Space Studies ModelE general circulation model to selectively vary climate and production functions, we model Be-10 flux at key ice-coring sites. We vary geomagnetic field strength and the solar activity modulation parameter (phi), CO2, sea surface temperatures, and volcanic aerosols to assess impacts on Be-10. Specifically, we find significant latitudinal differences in the response of Be-10 fluxes to changes in the production function. In the climate experiments the Be-10 deposition changes simulated over ice sheets in both hemispheres are comparable to those seen in the production experiments. This altered deposition combined with changes of snow accumulation results in significant climate-related Be-10 concentration variation in both Greenland and Antarctica. Over the Holocene our results suggest that the Be-10 response to climate change should not be neglected when inferring production changes.</t>
  </si>
  <si>
    <t>Columbia Univ, Dept Earth &amp; Environm Sci, New York, NY 10025 USA; Columbia Univ, NASA, Goddard Inst Space Studies, New York, NY 10025 USA; Columbia Univ, Ctr Climate Syst Res, New York, NY 10025 USA; CALTECH, Div Geol &amp; Planetary Sci, Pasadena, CA 91125 USA</t>
  </si>
  <si>
    <t>Columbia University; National Aeronautics &amp; Space Administration (NASA); NASA Goddard Space Flight Center; Goddard Institute for Space Studies; Columbia University; Columbia University; California Institute of Technology</t>
  </si>
  <si>
    <t>Field, CV (corresponding author), Columbia Univ, Dept Earth &amp; Environm Sci, 2880 Broadway, New York, NY 10025 USA.</t>
  </si>
  <si>
    <t>cfield@giss.nasa.gov</t>
  </si>
  <si>
    <t>Schmidt, Gavin/D-4427-2012</t>
  </si>
  <si>
    <t>Schmidt, Gavin/0000-0002-2258-0486</t>
  </si>
  <si>
    <t>D15107</t>
  </si>
  <si>
    <t>10.1029/2005JD006410</t>
  </si>
  <si>
    <t>074BK</t>
  </si>
  <si>
    <t>WOS:000239787000001</t>
  </si>
  <si>
    <t>Helsen, MM; van de Wal, RSW; van den Broeke, MR; Masson-Delmotte, V; Meijer, HAJ; Scheele, MP; Werner, M</t>
  </si>
  <si>
    <t>Helsen, M. M.; van de Wal, R. S. W.; van den Broeke, M. R.; Masson-Delmotte, V.; Meijer, H. A. J.; Scheele, M. P.; Werner, M.</t>
  </si>
  <si>
    <t>Modeling the isotopic composition of Antarctic snow using backward trajectories: Simulation of snow pit records</t>
  </si>
  <si>
    <t>DRONNING-MAUD-LAND; GENERAL-CIRCULATION MODEL; SURFACE MASS-BALANCE; ICE-CORE; DEUTERIUM-EXCESS; STABLE-ISOTOPES; WATER ISOTOPES; LAW DOME; PRECIPITATION; TEMPERATURE</t>
  </si>
  <si>
    <t>[ 1] The quantitative interpretation of isotope records (delta O-18, delta D, and d excess) in ice cores can benefit from a comparison of observed meteorology with associated isotope variability. For this reason we studied four isotope records from snow pits in western Dronning Maud Land (DML), Antarctica, covering the period 1998 - 2001. Timing and magnitude of snowfall events on these locations were monitored using sonic height rangers. For the distinguished snowfall events we evaluated the isotopic composition of the moisture during transport by combining backward trajectory calculations with isotopic modeling, using a Rayleigh-type distillation model (MCIM). The initial isotope ratio of the moisture was determined from monthly mean isotope fields from a general circulation model (ECHAM4). The trajectory analysis showed that the southern Atlantic Ocean is the major moisture source for precipitation in DML. Modeling results along the trajectories revealed that most of the isotopic depletion occurred during the last day of the transport. Finally, a diffusion model was applied to describe the diffusion in the firn layer such that the modeled isotopes could be compared with the observed isotope records. The resulting modeled isotope profiles were mostly in good agreement with the observed seasonal variability in the snow. However, at low temperatures ( especially on the Antarctic interior), magnitude of the total distillation was underestimated. Regarding the d excess parameter, our results show a large influence of advection height on the final value of d excess in precipitation. This in turn points to the importance of the vertical structure of d excess over the oceanic source region, which obscures the classical interpretation of this parameter in terms of temperature and relative humidity in the moisture source region.</t>
  </si>
  <si>
    <t>Univ Utrecht, Inst Marine &amp; Atmospher Res Utrecht, NL-3508 TA Utrecht, Netherlands; CEA Saclay, Lab Sci Climat &amp; Environm, UMR CEA CNRS 1572, F-91191 Gif Sur Yvette, France; CIO, NL-9747 AG Groningen, Netherlands; Royal Netherlands Meteorol Inst, NL-3730 AE De Bilt, Netherlands; Max Planck Inst Biogeochem, D-07701 Jena, Germany</t>
  </si>
  <si>
    <t>Utrecht University; Universite Paris Saclay; CEA; Centre National de la Recherche Scientifique (CNRS); Royal Netherlands Meteorological Institute; Max Planck Society</t>
  </si>
  <si>
    <t>Helsen, MM (corresponding author), Univ Utrecht, Inst Marine &amp; Atmospher Res Utrecht, POB 80-005, NL-3508 TA Utrecht, Netherlands.</t>
  </si>
  <si>
    <t>m.m.helsen@phys.uu.nl</t>
  </si>
  <si>
    <t>Masson-Delmotte, Valerie L/G-1995-2011; Van den Broeke, Michiel R./F-7867-2011; van de wal, roderik/D-1705-2011; Meijer, Harro A J/A-5787-2012; Werner, Martin/C-8067-2014</t>
  </si>
  <si>
    <t>Masson-Delmotte, Valerie L/0000-0001-8296-381X; Van den Broeke, Michiel R./0000-0003-4662-7565; van de wal, roderik/0000-0003-2543-3892; Werner, Martin/0000-0002-6473-0243; Meijer, Harro A.J./0000-0001-8744-5632</t>
  </si>
  <si>
    <t>D15109</t>
  </si>
  <si>
    <t>10.1029/2005JD006524</t>
  </si>
  <si>
    <t>WOS:000239787000002</t>
  </si>
  <si>
    <t>DiFiore, PJ; Sigman, DM; Trull, TW; Lourey, MJ; Karsh, K; Cane, G; Ho, R</t>
  </si>
  <si>
    <t>DiFiore, Peter J.; Sigman, Daniel M.; Trull, Thomas W.; Lourey, Martin J.; Karsh, Kristen; Cane, Greg; Ho, Ruby</t>
  </si>
  <si>
    <t>Nitrogen isotope constraints on subantarctic biogeochemistry</t>
  </si>
  <si>
    <t>POLAR FRONTAL ZONES; SOUTHERN-OCEAN; AUSTRALIAN SECTOR; PHYTOPLANKTON GROWTH; NUTRIENT UTILIZATION; INTERGLACIAL CHANGES; NITRATE UTILIZATION; ORGANIC-MATTER; CARBON EXPORT; MIXED-LAYER</t>
  </si>
  <si>
    <t>[ 1] We report nitrate (NO3-) nitrogen isotope ratios for seawater samples collected in the Subantarctic Zone of the Southern Ocean during both winter and summer as part of the Australian Antarctic CRC Subantarctic Zone (SAZ) Project. The concentration and N-15/N-14 of the wintertime surface nitrate are very close to those of the subantarctic thermocline. The N-15/N-14 of nitrate in the surface increases sharply into the summer even though there is little seasonal change in nitrate concentration. There are two possible end-member explanations for this observation. First, there may be significant equatorward nitrate transport during the summer, including a supply from the Antarctic surface. Second, the isotope effect of algal nitrate assimilation may be higher than has been estimated elsewhere, for example, for the seasonal sea ice zone of the Antarctic. We use a simple geochemical box model of the SAZ surface mixed layer as it evolves over the course of the summer to simulate salinity, nitrate concentration, and the N-15/N-14 of nitrate and sinking N. Our results suggest that a significant portion ( similar to 30%) of the summertime SAZ nitrate is supplied from south of the Subantarctic Front and that N export is &gt;= 3.5 mmol N m(-2) d(-1). Our approach also identifies the necessity of an isotope effect for nitrate assimilation in the SAZ of &gt;= 7 parts per thousand and probably 8 - 9 parts per thousand. Comparison to laboratory results suggests that this relatively high isotope effect may result from light limitation of algal growth in the SAZ.</t>
  </si>
  <si>
    <t>Princeton Univ, Dept Geosci, Princeton, NJ 08544 USA; CSIRO Marine &amp; Atmospher Res, Antarct Climate &amp; Ecosyst Cooperat Res Ctr, Hobart, Tas 7001, Australia; CSIRO Marine &amp; Atmospher Res, Wembley, WA 6913, Australia</t>
  </si>
  <si>
    <t>Princeton University; Commonwealth Scientific &amp; Industrial Research Organisation (CSIRO); Commonwealth Scientific &amp; Industrial Research Organisation (CSIRO)</t>
  </si>
  <si>
    <t>DiFiore, PJ (corresponding author), Princeton Univ, Dept Geosci, Guyot Hall, Princeton, NJ 08544 USA.</t>
  </si>
  <si>
    <t>pdifiore@princeton.edu</t>
  </si>
  <si>
    <t>Trull, Tom W/B-7028-2014; Sigman, Daniel M./A-2649-2008; Sigman, Daniel M./IYJ-2613-2023</t>
  </si>
  <si>
    <t>Sigman, Daniel M./0000-0002-7923-1973;</t>
  </si>
  <si>
    <t>C8</t>
  </si>
  <si>
    <t>C08016</t>
  </si>
  <si>
    <t>10.1029/2005JC003216</t>
  </si>
  <si>
    <t>074BP</t>
  </si>
  <si>
    <t>WOS:000239787500001</t>
  </si>
  <si>
    <t>Monaghan, AJ; Bromwich, DH; Fogt, RL; Wang, SH; Mayewski, PA; Dixon, DA; Ekaykin, A; Frezzotti, M; Goodwin, I; Isaksson, E; Kaspari, SD; Morgan, VI; Oerter, H; Van Ommen, TD; Van der Veen, CJ; Wen, JH</t>
  </si>
  <si>
    <t>Monaghan, Andrew J.; Bromwich, David H.; Fogt, Ryan L.; Wang, Sheng-Hung; Mayewski, Paul A.; Dixon, Daniel A.; Ekaykin, Alexey; Frezzotti, Massimo; Goodwin, Ian; Isaksson, Elisabeth; Kaspari, Susan D.; Morgan, Vin I.; Oerter, Hans; Van Ommen, Tas D.; Van der Veen, Cornelius J.; Wen, Jiahong</t>
  </si>
  <si>
    <t>Insignificant change in Antarctic snowfall since the International Geophysical Year</t>
  </si>
  <si>
    <t>SEA-LEVEL RISE; SURFACE MASS-BALANCE; ICE SHEETS; GREENLAND; TRENDS; 20TH-CENTURY; ERA-40</t>
  </si>
  <si>
    <t>Antarctic snowfall exhibits substantial variability over a range of time scales, with consequent impacts on global sea level and the mass balance of the ice sheets. To assess how snowfall has affected the thickness of the ice sheets in Antarctica and to provide an extended perspective, we derived a 50-year time series of snowfall accumulation over the continent by combining model simulations and observations primarily from ice cores. There has been no statistically significant change in snowfall since the 1950s, indicating that Antarctic precipitation is not mitigating global sea level rise as expected, despite recent winter warming of the overlying atmosphere.</t>
  </si>
  <si>
    <t>Ohio State Univ, Byrd Polar Res Ctr, Polar Meteorol Grp, Columbus, OH 43210 USA; Ohio State Univ, Dept Geol Sci, Columbus, OH 43210 USA; Univ Maine, Climate Change Inst, Orono, ME 04469 USA; Arctic &amp; Antarctic Res Ctr, St Petersburg 199397, Russia; Natl Agcy New Technol Energy &amp; Environm, I-00060 Rome, Italy; Univ Newcastle, Sch Environm &amp; Life Sci, Callaghan, NSW 2308, Australia; Norwegian Polar Res Inst, N-9296 Tromso, Norway; Australian Antarctic Div, Dept Environm &amp; Heritage, Hobart, Tas 7001, Australia; Antarctic Climate &amp; Ecosyst Cooperat Res Ctr, Hobart, Tas 7001, Australia; Alfred Wegener Inst Polar &amp; Marine Res, D-27515 Bremerhaven, Germany; Shanghai Normal Univ, Dept Geog, Shanghai 200234, Peoples R China</t>
  </si>
  <si>
    <t>University System of Ohio; Ohio State University; University System of Ohio; Ohio State University; University of Maine System; University of Maine Orono; University of Newcastle; Norwegian Polar Institute; Australian Antarctic Division; Antarctic Climate &amp; Ecosystems Cooperative Research Centre (ACE CRC); Helmholtz Association; Alfred Wegener Institute, Helmholtz Centre for Polar &amp; Marine Research; Shanghai Normal University</t>
  </si>
  <si>
    <t>Monaghan, AJ (corresponding author), Ohio State Univ, Byrd Polar Res Ctr, Polar Meteorol Grp, Columbus, OH 43210 USA.</t>
  </si>
  <si>
    <t>monaghan.11@osu.edu</t>
  </si>
  <si>
    <t>Zhang, Yanyan/JFA-9161-2023; Mayewski, Paul Andrew/HRD-6969-2023; Bromwich, David H/C-9225-2016; Fogt, Ryan L/B-6989-2008; FREZZOTTI, Massimo/AAK-7275-2020; Ekaykin, Alexey A./K-9894-2015; van Ommen, Tas/B-5020-2012; Lipenkov, Vladimir/Q-8262-2016</t>
  </si>
  <si>
    <t>Fogt, Ryan L/0000-0002-5398-3990; FREZZOTTI, Massimo/0000-0002-2461-2883; van Ommen, Tas/0000-0002-2463-1718; Goodwin, Ian/0000-0001-8682-6409; Monaghan, Andrew/0000-0002-8170-2359; Lipenkov, Vladimir/0000-0003-4221-5440</t>
  </si>
  <si>
    <t>1095-9203</t>
  </si>
  <si>
    <t>10.1126/science.1128243</t>
  </si>
  <si>
    <t>072KC</t>
  </si>
  <si>
    <t>WOS:000239671300057</t>
  </si>
  <si>
    <t>Roscoe, HK; Roscoe, J</t>
  </si>
  <si>
    <t>Roscoe, H. K.; Roscoe, J.</t>
  </si>
  <si>
    <t>Polar tropospheric ozone depletion events observed in the International Geophysical Year of 1958</t>
  </si>
  <si>
    <t>MARINE BOUNDARY-LAYER; SEA-SALT AEROSOL; COASTAL POLYNYA; DESTRUCTION; BROMINE; ICE; BRO; SUNRISE; RELEASE; SURFACE</t>
  </si>
  <si>
    <t>The Royal Society expedition to Antarctica established a base at Halley Bay, in support of the International Geophysical Year of 1957 - 1958. Surface ozone was measured during 1958 only, using a prototype Brewer-Mast sonde. The envelope of maximum ozone was an annual cycle from 10 ppbv in January to 22 ppbv in August. These values are 35% less at the start of the year and 15% less at the end than modern values from Neumayer, also a coastal site. This may reflect a general increase in surface ozone since 1958 and differences in summer at the less windy site of Halley, or it may reflect ozone loss on the inlet together with long-term conditioning. There were short periods in September when ozone values decreased rapidly to near-zero, and some in August when ozone values were rapidly halved. Such ozone-loss episodes, catalysed by bromine compounds, became well-known in the Artic in the 1980s, and were observed more recently in the Antarctic. In 1958, very small ozone values were recorded for a week in midwinter during clear weather with light winds. The absence of similar midwinter reductions at Neumayer, or at Halley in the few measurements during 1987, means we must remain suspicious of these small values, but we can find no obvious reason to discount them. The dark reaction of ozone and seawater ice observed in the laboratory may be fast enough to explain them if the salinity and surface area of the ice is sufficiently amplified by frost flowers.</t>
  </si>
  <si>
    <t>Roscoe, HK (corresponding author), British Antarctic Survey, Madingley Rd, Cambridge CB3 0ET, England.</t>
  </si>
  <si>
    <t>h.roscoe@bas.ac.uk</t>
  </si>
  <si>
    <t>EUROPEAN GEOSCIENCES UNION</t>
  </si>
  <si>
    <t>KATLENBURG-LINDAU</t>
  </si>
  <si>
    <t>MAX-PLANCK-STR 13, 37191 KATLENBURG-LINDAU, GERMANY</t>
  </si>
  <si>
    <t>AUG 10</t>
  </si>
  <si>
    <t>10.5194/acp-6-3303-2006</t>
  </si>
  <si>
    <t>072IP</t>
  </si>
  <si>
    <t>WOS:000239667400001</t>
  </si>
  <si>
    <t>Rippin, DM; Siegert, MJ; Bamber, JL; Vaughan, DG; Corr, HFJ</t>
  </si>
  <si>
    <t>Rippin, David M.; Siegert, Martin J.; Bamber, Jonathan L.; Vaughan, David G.; Corr, Hugh F. J.</t>
  </si>
  <si>
    <t>Switch-off of a major enhanced ice flow unit in East Antarctica</t>
  </si>
  <si>
    <t>WEST ANTARCTICA; GLACIAL CYCLES; DOME-C; STREAM; SHEET; TRIBUTARIES; INTERFEROMETRY; REGION; BASAL</t>
  </si>
  <si>
    <t>The East Antarctic Ice Sheet (EAIS) is the largest reservoir of ice on the planet by an order of magnitude. Compared with the West Antarctic Ice Sheet (WAIS), it is traditionally considered to be relatively stable, with only minor adjustments to its configuration over glacial-interglacial cycles. Here, we present the results of a radioecho sounding survey from Coats Land, East Antarctica, which suggests that parts of the EAIS outlet drainage system may have changed significantly since the Last Glacial Maximum. We have identified an enhanced flow unit from buckled internal layering and smooth bed morphology that is no longer active. We believe this feature to have shut down at some point since the Last Glacial Maximum, similar to 20 ka BP.</t>
  </si>
  <si>
    <t>Univ Hull, Dept Geog, Kingston Upon Hull HU6 7RX, N Humberside, England; Univ Bristol, Sch Geog Sci, Bristol Glaciol Ctr, Bristol BS8 1SS, Avon, England; British Antarctic Survey, Cambridge CB3 0ET, England</t>
  </si>
  <si>
    <t>University of Hull; University of Bristol; UK Research &amp; Innovation (UKRI); Natural Environment Research Council (NERC); NERC British Antarctic Survey</t>
  </si>
  <si>
    <t>Rippin, DM (corresponding author), Univ Hull, Dept Geog, Cottingham Rd, Kingston Upon Hull HU6 7RX, N Humberside, England.</t>
  </si>
  <si>
    <t>d.rippin@hull.ac.uk</t>
  </si>
  <si>
    <t>Vaughan, David/C-8348-2011; Siegert, Martin J/A-3826-2008; Bamber, Jonathan/C-7608-2011; Rippin, David Manish/AAW-5063-2021; Corr, Hugh/C-5398-2011; Siegert, Martin/M-9939-2019</t>
  </si>
  <si>
    <t>Siegert, Martin J/0000-0002-0090-4806; Bamber, Jonathan/0000-0002-2280-2819; Rippin, David Manish/0000-0001-7757-9880; Siegert, Martin/0000-0002-0090-4806; Vaughan, David/0000-0002-9065-0570</t>
  </si>
  <si>
    <t>L15501</t>
  </si>
  <si>
    <t>10.1029/2006GL026648</t>
  </si>
  <si>
    <t>074BB</t>
  </si>
  <si>
    <t>WOS:000239786100007</t>
  </si>
  <si>
    <t>White, WB; Simmonds, I</t>
  </si>
  <si>
    <t>White, Warren B.; Simmonds, Ian</t>
  </si>
  <si>
    <t>Sea surface temperature-induced cyclogenesis in the Antarctic circumpolar wave</t>
  </si>
  <si>
    <t>TROPOSPHERIC RESPONSE; SOUTHERN-OCEAN; PRECIPITATION; VARIABILITY; ANOMALIES; HEAT; ICE; REANALYSIS; LATENT</t>
  </si>
  <si>
    <t>[ 1] An Antarctic circumpolar wave (ACW) of 3- to- 4-year period propagated eastward around the Southern Ocean in covarying sea surface temperature (SST) and sea level pressure (SLP) anomalies from 1983 through 1992, composed of two wavelengths that circled most of the global ocean along the midlatitude storm track near 40 degrees S. In this ACW, positive SST anomalies drove upward latent heat flux, positive precipitation (PCP), and mid to upper level diabatic heating anomalies in the troposphere, the latter balanced principally by the cooling tendency from deep convection ( White and Chen, 2002). One hypothesis has the anomalous PCP and deep convection in this ACW arising from that in more frequent and/or stronger extratropical cyclones in the synoptic storm aggregate. Here we verify this hypothesis, finding negative SLP anomalies in this ACW collocated with positive extratropical cyclone intensity (ECI) and extratropical cyclone density (ECD) anomalies in the annual synoptic storm aggregate. Because individual extratropical cyclones are 3 to 4 times smaller than SLP anomalies in the ACW, their density and intensity appear to be modulated by anomalous zonal SST gradients in the ACW. These results are corroborated by finding greater interannual PCP anomalies over southeast Australia collocated with positive SST anomalies, occurring on the eastern side of covarying negative SLP and positive ECI and ECD anomalies in the ACW along the mid-latitude storm track. Because positive interannual PCP anomalies over southeast Australia derive from the integral of rainfall from more dense and/or intense extratropical cyclones in the aggregate, the same is true for the ACW propagating eastward along the midlatitude storm track over the remainder of the Southern Ocean.</t>
  </si>
  <si>
    <t>Univ Calif San Diego, Scripps Inst Oceanog, La Jolla, CA 92093 USA; Univ Melbourne, Sch Earth Sci, Parkville, Vic 3052, Australia</t>
  </si>
  <si>
    <t>University of California System; University of California San Diego; Scripps Institution of Oceanography; University of Melbourne</t>
  </si>
  <si>
    <t>White, WB (corresponding author), Univ Calif San Diego, Scripps Inst Oceanog, La Jolla, CA 92093 USA.</t>
  </si>
  <si>
    <t>wbwhite@ucsd.edu; simmonds@unimelb.edu.au</t>
  </si>
  <si>
    <t>AUG 9</t>
  </si>
  <si>
    <t>C08011</t>
  </si>
  <si>
    <t>10.1029/2004JC002395</t>
  </si>
  <si>
    <t>074BN</t>
  </si>
  <si>
    <t>WOS:000239787300001</t>
  </si>
  <si>
    <t>Wassermann, S; Schmitt, C; Kottmeier, C; Simmonds, I</t>
  </si>
  <si>
    <t>Wassermann, S.; Schmitt, C.; Kottmeier, C.; Simmonds, I.</t>
  </si>
  <si>
    <t>Coincident vortices in Antarctic wind fields and sea ice motion</t>
  </si>
  <si>
    <t>IMAGERY</t>
  </si>
  <si>
    <t>This study introduces a method to examine the coincidence of rotational ice drift and winds caused by the forcing of ice motion by Antarctic cyclones. Vortices are automatically detected using the algorithm of Murray and Simmonds ( 1991) from both ECMWF surface pressures and SSM/I sea ice motions. For compatibility with this algorithm sea ice motion vectors are transformed to a scalar stream function. During a seven-day test period positions of pressure minima and stream function maxima (SFM) of ice drift are within 300 km in 96% of the cases. Lowest pressure minima are related to highest stream function maxima. The results promise the method to provide a complementary tool of detecting and localizing low-pressure systems over sea ice, adding to numerical pressure analyses.</t>
  </si>
  <si>
    <t>Univ Forschungszentrum Karlsruhe, Inst Meteorol &amp; Klimaforsch, D-76133 Karlsruhe, Germany; Univ Melbourne, Sch Earth Sci, Melbourne, Vic 3010, Australia</t>
  </si>
  <si>
    <t>Helmholtz Association; Karlsruhe Institute of Technology; University of Melbourne; Melbourne Bioinformatics</t>
  </si>
  <si>
    <t>Wassermann, S (corresponding author), Univ Forschungszentrum Karlsruhe, Inst Meteorol &amp; Klimaforsch, Kaiserstr 12, D-76133 Karlsruhe, Germany.</t>
  </si>
  <si>
    <t>stefanie.wassermann@imk.uka.de; carolin.schmitt@imk.uka.de; ckottmei@imk.uka.de; i.simmonds@earthsci.unimelb.edu.au</t>
  </si>
  <si>
    <t>Kottmeier, Christoph/A-9553-2013</t>
  </si>
  <si>
    <t>Kottmeier, Christoph/0000-0002-2196-2052; Simmonds, Ian/0000-0002-4479-3255</t>
  </si>
  <si>
    <t>AUG 8</t>
  </si>
  <si>
    <t>L15810</t>
  </si>
  <si>
    <t>10.1029/2006GL026005</t>
  </si>
  <si>
    <t>074AY</t>
  </si>
  <si>
    <t>WOS:000239785800001</t>
  </si>
  <si>
    <t>Verde, C; Balestrieri, M; de Pascale, D; Pagnozzi, D; Lecointre, G; di Prisco, G</t>
  </si>
  <si>
    <t>Verde, Cinzia; Balestrieri, Marco; de Pascale, Donatella; Pagnozzi, Daniela; Lecointre, Guillaume; di Prisco, Guido</t>
  </si>
  <si>
    <t>The oxygen transport system in three species of the boreal fish family gadidae - Molecular phylogeny of hemoglobin</t>
  </si>
  <si>
    <t>JOURNAL OF BIOLOGICAL CHEMISTRY</t>
  </si>
  <si>
    <t>FUNCTIONALLY DISTINCT HEMOGLOBINS; ANTARCTIC NOTOTHENIOID FISH; AMINO-ACID-SEQUENCE; BINDING-PROPERTIES; LIGAND-BINDING; TELEOST; EVOLUTION; MITOCHONDRIAL; PURIFICATION; ADAPTATION</t>
  </si>
  <si>
    <t>The Arctic and Antarctic marine faunas differ by age and isolation. Fishes of the two polar regions have undergone different regional histories that have driven the physiological diversities. Antarctic fish are highly stenothermal, in keeping with stable water temperatures, whereas Arctic fish, being exposed to seasonal temperature variations, exhibit higher physiological plasticity. This study reports the characterization of the oxygen transport system of three Arctic species of the family Gadidae, namely the Arctic cod Arctogadus glacialis, the polar cod Boreogadus saida, and the Atlantic cod Gadus morhua. Unlike Antarctic notothenioids, the blood displays high multiplicity, i.e. it has three hemoglobins, similar to many other acanthomorph teleosts. In the most abundant hemoglobin, oxygen binding is modulated by heterotropic effectors, with marked Bohr and Root effects. Remarkably, in two species (A. glacialis and B. saida), the Hill coefficient is very close to one in the whole pH range, indicating the apparent absence of cooperativity. The amino acid sequences have been used to gain insight into the evolution history of globins of polar fish. The results indicate that Arctic and Antarctic globins have different phylogenies and lead us to suggest that the selective pressure of environment stability allows the phylogenetic signal to be maintained in the Antarctic sequences, whereas environmental variability would tend to disrupt this signal in the Gadidae sequences.</t>
  </si>
  <si>
    <t>CNR, Inst Prot Biochem, I-80131 Naples, Italy; Museum Natl Hist Nat, Dept Systemat &amp; Evolut, UMR 7138 CNRS, F-75005 Paris, France</t>
  </si>
  <si>
    <t>Consiglio Nazionale delle Ricerche (CNR); Istituto di Biochimica delle Proteine (IBP-CNR); Museum National d'Histoire Naturelle (MNHN); Centre National de la Recherche Scientifique (CNRS); CNRS - National Institute for Biology (INSB)</t>
  </si>
  <si>
    <t>di Prisco, G (corresponding author), CNR, Inst Prot Biochem, Via Pietro Castellino 111, I-80131 Naples, Italy.</t>
  </si>
  <si>
    <t>Balestrieri, Marco/G-1847-2011</t>
  </si>
  <si>
    <t>Balestrieri, Marco/0000-0003-4343-2148; VERDE, Cinzia/0000-0001-6185-282X; Pagnozzi, Daniela/0000-0001-7764-1867</t>
  </si>
  <si>
    <t>AMER SOC BIOCHEMISTRY MOLECULAR BIOLOGY INC</t>
  </si>
  <si>
    <t>ROCKVILLE</t>
  </si>
  <si>
    <t>11200 ROCKVILLE PIKE, SUITE 302, ROCKVILLE, MD, UNITED STATES</t>
  </si>
  <si>
    <t>0021-9258</t>
  </si>
  <si>
    <t>1083-351X</t>
  </si>
  <si>
    <t>J BIOL CHEM</t>
  </si>
  <si>
    <t>J. Biol. Chem.</t>
  </si>
  <si>
    <t>AUG 4</t>
  </si>
  <si>
    <t>10.1074/jbc.M513080200</t>
  </si>
  <si>
    <t>068PO</t>
  </si>
  <si>
    <t>WOS:000239387100054</t>
  </si>
  <si>
    <t>van Hoof, TB; Bunnik, FPM; Waucomont, JGM; Kürschner, WM; Visscher, H</t>
  </si>
  <si>
    <t>van Hoof, Thomas B.; Bunnik, Frans P. M.; Waucomont, Jean G. M.; Kurschner, Wolfram M.; Visscher, Henk</t>
  </si>
  <si>
    <t>Forest re-growth on medieval farmland after the Black Death pandemic -: Implications for atmospheric CO2 levels</t>
  </si>
  <si>
    <t>last millennium; vegetation history; atmospheric CO2; pandemics</t>
  </si>
  <si>
    <t>ICE CORE; STOMATAL INDEX; LAST MILLENNIUM; ANTARCTIC ICE; HISTORY; DECLINE; RECORD; FLUX</t>
  </si>
  <si>
    <t>Well-dated pollen assemblages from an organic-rich infill of an oxbow lake of the river Roer (southeastern Netherlands) provide a high-resolution reconstruction of regional vegetation development and land-use for the period between AD 1000 and 1500. Regional effects of the mid-14th century plague pandernic known as the Black Death are reflected by a period of significant agricultural regression between AD 1350 and 1440. Concomitant re-growth of forest indicates the existence of a terrestrial carbon sink following the Black Death pandemic. A direct temporal correlation of the reconstructed changes in land-cover with a proxy record of atmospheric CO2 mixing ratios based on stomatal frequency analysis of Quercits robur leaf remains suggests the coupling of long-term CO2 trends of the 13th-15th centuries and coeval trends in regional forest density. During the period of maximum reforestation between AD 1400 and 1440, CO2, levels seem to be relatively low, but the onset of a CO2 decline may predate the spread of the Black Death in Europe. (c) 2005 Elsevier B.V. All rights reserved.</t>
  </si>
  <si>
    <t>Univ Utrecht, Fac Sci, Dept Biol, Palaeobot &amp; Palynol Lab, NL-3584 CD Utrecht, Netherlands; TNO, Geol Survey Netherlands, NL-3508 TA Utrecht, Netherlands</t>
  </si>
  <si>
    <t>Utrecht University; Netherlands Organization Applied Science Research</t>
  </si>
  <si>
    <t>van Hoof, TB (corresponding author), Univ Utrecht, Fac Sci, Dept Biol, Palaeobot &amp; Palynol Lab, Budapestlaan 4, NL-3584 CD Utrecht, Netherlands.</t>
  </si>
  <si>
    <t>T.B.vanHoof@bio.uu.nl</t>
  </si>
  <si>
    <t>Kürschner, Wolfram Michael/AAC-7769-2020; Kürschner, Wolfram Michael/B-4724-2009</t>
  </si>
  <si>
    <t>Kürschner, Wolfram Michael/0000-0001-6883-6486; Kürschner, Wolfram Michael/0000-0001-6883-6486; Visscher, Henk/0000-0002-9276-0220</t>
  </si>
  <si>
    <t>2-4</t>
  </si>
  <si>
    <t>10.1016/j.palaeo.2005.12.013</t>
  </si>
  <si>
    <t>072KP</t>
  </si>
  <si>
    <t>WOS:000239672600019</t>
  </si>
  <si>
    <t>Haywood, AM; Valdes, PJ</t>
  </si>
  <si>
    <t>Haywood, Alan M.; Valdes, Paul J.</t>
  </si>
  <si>
    <t>Vegetation cover in a warmer world simulated using a dynamic global vegetation model for the Mid-Pliocene</t>
  </si>
  <si>
    <t>Mid-Pliocene; vegetation; General Circulation Model; Top-Down Representation of Interactive Flora and Foliage Including Dynamics; hominid; bipedalism</t>
  </si>
  <si>
    <t>TERRESTRIAL BIOSPHERE MODEL; JOINT INVESTIGATIONS; CLIMATE VARIABILITY; FEEDBACKS; MIOCENE; CO2; HOMINID; IMPACT; GCM; RECONSTRUCTION</t>
  </si>
  <si>
    <t>In this study we employ the TRIFFID (Top-down Representation of Interactive Flora and Foliage Including Dynamics) Dynamic Global Vegetation Model (DGVM) and the Hadley Centre Atmospheric General Circulation Model version 3 (HadAM3 GCM) to investigate vegetation distributions and climate-vegetation feedbacks during the Mid-Pliocene, and examine the implications of these results for the origins of hominid bipedalism. The TRIFFID model outputs support extant palaeoenvironmental reconstructions for the Mid-Pliocene provided by the PRISM Group (Pliocene Research Interpretations and Synoptic Mapping). Compared to the pre-industrial, TRIFFID simulates a significant increase in forest cover during the Mid-Pliocene, composed of needle leaf trees in the higher latitudes of the Northern Hemisphere and broad leaf trees in other regions. Needle leaf trees extend from the Arctic Coast into the northern mid latitudes. The fractional coverage of bare soil declines in North Africa, the Arabian Peninsula, Australia and southern South America, a pattern that is consistent with PRISM's assertion of less extensive and deserts. A significant increase in the fractional coverage of both broad leaf trees in Africa and South America in the Mid-Pliocene scenario is not indicative of a major expansion of tropical rainforests. Rather, it represents an expansion of general woodland type habitats. The principal impact of using a DGVM on the GCM predicted climatology for the Mid-Pliocene is to reduce minimum and maximum temperature extremes, thus reducing the seasonality of temperature over wide regions. The predicted Pliocene expansion in broad leaf trees in Africa is difficult to reconcile with the 'savannah hypothesis' for the evolution of hommid bipedalism. Rather the results lend credence to an alternative hypothesis which suggests that bipedalism evolved in wooded to forested ecosystems and was, for several million years, linked to arborealism. (c) 2006 Elsevier B.V. All rights reserved.</t>
  </si>
  <si>
    <t>British Antarctic Survey, Geol Sci Div, Cambridge CB3 0ET, England; Univ Bristol, Sch Geog Sci, Bristol BS8 1SS, Avon, England</t>
  </si>
  <si>
    <t>Haywood, AM (corresponding author), British Antarctic Survey, Geol Sci Div, High Cross,Madingley Rd, Cambridge CB3 0ET, England.</t>
  </si>
  <si>
    <t>ahay@bas.ac.uk</t>
  </si>
  <si>
    <t>Valdes, Paul J/C-4129-2013; Valdes, Paul/T-2004-2019</t>
  </si>
  <si>
    <t>Valdes, Paul/0000-0002-1902-3283</t>
  </si>
  <si>
    <t>10.1016/j.palaeo.2005.12.012</t>
  </si>
  <si>
    <t>WOS:000239672600020</t>
  </si>
  <si>
    <t>Evans, J; Dowdeswell, JA; O Cofaigh, C; Benham, TJ; Anderson, JB</t>
  </si>
  <si>
    <t>Evans, Jeffrey; Dowdeswell, Julian A.; O Cofaigh, Colm; Benham, Toby J.; Anderson, John B.</t>
  </si>
  <si>
    <t>Extent and dynamics of the West Antarctic Ice Sheet on the outer continental shelf of Pine Island Bay during the last glaciation</t>
  </si>
  <si>
    <t>West Antarctic Ice Sheet; palaeo-ice stream; groove-ploughing; subglacial sediment deformation; iceberg scouring</t>
  </si>
  <si>
    <t>PLEISTOCENE-HOLOCENE RETREAT; ROSS SEA; SEDIMENTARY PROCESSES; SUBGLACIAL SEDIMENTS; MELTING HISTORY; AMUNDSEN SEA; BENEATH; TILL; MAXIMUM; STREAMS</t>
  </si>
  <si>
    <t>Swath bathymetry and TOPAS sub-bottom profiler acoustic data reveal the presence of a major cross-shelf bathymetric trough containing streamlined subglacial bedforms formed in soft till that extends to the continental shelf edge of outer Pine Island Bay, Amundsen Sea, West Antarctica. The new data indicate that the West Antarctic Ice Sheet (WAIS) extended to the shelf edge of Pine Island Bay during the last glaciation, and was drained by a grounded, fast-flowing palaeo-ice stream through this outer-shelf trough. Topography and subglacial geology are likely to have exerted a strong control on the development and location of palaeo-ice streams in Pine Island Bay. TOPAS records show that mega-scale glacial lineations are formed in an acoustically transparent sediment layer interpreted to be soft till and are inferred to be the product of subglacial sediment deformation beneath the palaeo-ice stream. The flat to irregular nature of the basal reflector of the acoustically transparent layer of soft till implies that a combination of groove-ploughing of the substrate and subglacial sediment deformation were important processes beneath the palaco-ice stream in the outer trough of Pine Island Bay, as well as palaeo-ice streams elsewhere in Antarctica. Therefore, the formation of the soft till layer, and possibly associated subglacial bedforms, are likely to be a function of these palaco-ice stream processes. In a regional context, the WAIS extended to the continental shelf edge of the Bellingshausen, Amundsen and Ross Seas, and was drained by a number of palaeo-ice streams during the last glaciation. (c) 2006 Elsevier B.V. All rights reserved.</t>
  </si>
  <si>
    <t>Univ Cambridge, Scott Polar Res Inst, Cambridge CB2 1ER, England; Univ Durham, Dept Geog, Durham DH1 3LE, England; Rice Univ, Dept Earth Sci, Houston, TX 77005 USA</t>
  </si>
  <si>
    <t>University of Cambridge; Durham University; Rice University</t>
  </si>
  <si>
    <t>Evans, J (corresponding author), Univ Cambridge, Scott Polar Res Inst, Lensfield Rd, Cambridge CB2 1ER, England.</t>
  </si>
  <si>
    <t>je1007@cam.ac.uk</t>
  </si>
  <si>
    <t>Ó Cofaigh, Colm/D-9131-2012; Anderson, John/B-1011-2012; Evans, Jeffrey/F-5548-2010</t>
  </si>
  <si>
    <t>Benham, Toby/0000-0003-2723-1880; Dowdeswell, Julian/0000-0003-1369-9482</t>
  </si>
  <si>
    <t>Natural Environment Research Council [NER/T/S/2000/00986] Funding Source: researchfish</t>
  </si>
  <si>
    <t>AUG 2</t>
  </si>
  <si>
    <t>10.1016/j.margeo.2006.04.001</t>
  </si>
  <si>
    <t>069SE</t>
  </si>
  <si>
    <t>WOS:000239467700004</t>
  </si>
  <si>
    <t>Icardo, JM</t>
  </si>
  <si>
    <t>Icardo, Jose M.</t>
  </si>
  <si>
    <t>Conus arteriosus of the teleost heart: Dismissed, but not missed</t>
  </si>
  <si>
    <t>ANATOMICAL RECORD PART A-DISCOVERIES IN MOLECULAR CELLULAR AND EVOLUTIONARY BIOLOGY</t>
  </si>
  <si>
    <t>teleost; heart; outflow tract; conus arteriosus; conus valves</t>
  </si>
  <si>
    <t>ACIPENSER-NACCARII HEART; BULBUS ARTERIOSUS; OUTFLOW TRACT; ANTARCTIC TELEOSTS; VALVES; MYOCARDIUM; POLE</t>
  </si>
  <si>
    <t>The heart outflow tract (OFT) of primitive fish is formed by two portions: a proximal conus arteriosus and a distal bulbus arteriosus. The OFT of modern teleosts is considered to be formed by a single component, the bulbus, the conus having been lost through evolution. This article challenges the concept of the disappearance of the conus arteriosus in the teleost heart. A total of 28 teleost species belonging to 19 families and 10 orders were analyzed. The hearts were divided into two large groups: those having entirely trabeculated ventricles, and those possessing a compacta. In the hearts having entirely trabeculated ventricles, the conus arteriosus appears as a distinct segment interposed between the ventricle and the bulbus arteriosus, being formed by compact vascularized myocardium. However, the conus of several species lacks vessels. In these cases, the conus presents large intercellular spaces bounded by collagen. In the hearts possessing a ventricular compacta, the conus either appears as a muscular ring of variable length connecting the ventricle and the bulbus or forms a crown or ring of myocardium. apposed to the ventricular base. In all the teleosts studied, the conus can be recognized as an anatomic entity different from the ventricle. Furthermore, the conus appears as a distinct heart segment in the developing fish. Therefore, the conus arteriosus has not been lost in evolution and constitutes a fundamental part of the teleost OFT. In all the species studied, the conus supports the OFT valves, which should properly be named conus valves.</t>
  </si>
  <si>
    <t>Univ Cantabria, Dept Anat &amp; Biol Celular, Fac Med, Santander 39011, Spain</t>
  </si>
  <si>
    <t>Universidad de Cantabria</t>
  </si>
  <si>
    <t>Icardo, JM (corresponding author), Univ Cantabria, Dept Anat &amp; Biol Celular, Fac Med, C Cardenal Herrera Oria S-N, Santander 39011, Spain.</t>
  </si>
  <si>
    <t>icardojm@unican.es</t>
  </si>
  <si>
    <t>Icardo, Jose Manuel/ABH-5431-2020</t>
  </si>
  <si>
    <t>Icardo, Jose Manuel/0000-0001-9543-2444</t>
  </si>
  <si>
    <t>1552-4884</t>
  </si>
  <si>
    <t>1552-4892</t>
  </si>
  <si>
    <t>ANAT REC PART A</t>
  </si>
  <si>
    <t>Anat. Rec. Part A</t>
  </si>
  <si>
    <t>AUG</t>
  </si>
  <si>
    <t>288A</t>
  </si>
  <si>
    <t>10.1002/ar.a.20361</t>
  </si>
  <si>
    <t>Anatomy &amp; Morphology</t>
  </si>
  <si>
    <t>069UJ</t>
  </si>
  <si>
    <t>WOS:000239473500008</t>
  </si>
  <si>
    <t>Catry, P; Phillips, RA; Forcada, J; Croxall, JP</t>
  </si>
  <si>
    <t>Catry, Paulo; Phillips, Richard A.; Forcada, Jaume; Croxall, John P.</t>
  </si>
  <si>
    <t>Factors affecting the solution of a parental dilemma in albatrosses: at what age should chicks be left unattended?</t>
  </si>
  <si>
    <t>ANIMAL BEHAVIOUR</t>
  </si>
  <si>
    <t>LONG-LIVED SEABIRD; ANTARCTIC PETREL; WANDERING ALBATROSSES; REPRODUCTIVE SUCCESS; POPULATION-DYNAMICS; GIANT PETRELS; INCUBATION; CHRYSOSTOMA; SYNCHRONY; DECISIONS</t>
  </si>
  <si>
    <t>With rare exceptions, avian offspring are continuously attended by one parent for at least the first few days after hatching. The duration of this phase of the nesting cycle is regulated by a trade-off between the benefits of brooding/guarding and those of foraging. We manipulated offspring age in grey-headed albatrosses, Thalassarche chrysostoma, by swapping chicks between nests. Parents given chicks 6 days older than their own shortened brooding by only 1.2 days, and parents given chicks 6 days younger than their own extended brooding by 1.4 days. Despite being relatively unresponsive to chick age, parents adjusted brooding in relation to calendar date and to chick condition. The results suggest that adults do not use chick age per se as a cue, but instead probably use an internal timer, and fine-tune the decision to end brooding according to date and chick mass. The duration of brood guarding did not correlate with adult body condition, suggesting that adults had a sufficient safety margin to allow them to respond to chick needs without compromising their own residual reproductive value. Chick survival at the end of brood guarding was strongly dependent on calendar date (early and late chicks suffered higher mortality), which suggests that grey-headed albatrosses benefit from breeding synchronously. We conclude that the length of the brood-guarding period is dependent on chick condition and seasonal variation in chick predation risk. (c) 2006 The Association for the Study of Animal Behaviour Published by Elsevier Ltd. All rights reserved.</t>
  </si>
  <si>
    <t>Inst Super Psicol Aplicada, Unidade Invest Ecoetol, P-1100 Lisbon, Portugal; British Antarctic Survey, NERC, Cambridge CB3 0ET, England</t>
  </si>
  <si>
    <t>Instituto Superior Psicologia Aplicada (ISPA); UK Research &amp; Innovation (UKRI); Natural Environment Research Council (NERC); NERC British Antarctic Survey</t>
  </si>
  <si>
    <t>Catry, P (corresponding author), Inst Super Psicol Aplicada, Unidade Invest Ecoetol, Rua Jardim Tabaco 44, P-1100 Lisbon, Portugal.</t>
  </si>
  <si>
    <t>paulo.catry@netc.pt</t>
  </si>
  <si>
    <t>Forcada, Jaume/GYU-0677-2022; Catry, Paulo/I-5408-2013</t>
  </si>
  <si>
    <t>Catry, Paulo/0000-0003-3000-0522</t>
  </si>
  <si>
    <t>0003-3472</t>
  </si>
  <si>
    <t>1095-8282</t>
  </si>
  <si>
    <t>ANIM BEHAV</t>
  </si>
  <si>
    <t>Anim. Behav.</t>
  </si>
  <si>
    <t>10.1016/j.anbehav.2005.10.030</t>
  </si>
  <si>
    <t>Behavioral Sciences; Zoology</t>
  </si>
  <si>
    <t>079ZV</t>
  </si>
  <si>
    <t>WOS:000240217300014</t>
  </si>
  <si>
    <t>Urbini, S; Cafarella, L; Zirizzotti, A; Bianchi, C; Tabacco, I; Frezzotti, M</t>
  </si>
  <si>
    <t>Urbini, Stefano; Cafarella, Lili; Zirizzotti, Achille; Bianchi, Cesidio; Tabacco, Ignazio; Frezzotti, Massimo</t>
  </si>
  <si>
    <t>Location of a new ice core site at Talos Dome (East Antarctica)</t>
  </si>
  <si>
    <t>ANNALS OF GEOPHYSICS</t>
  </si>
  <si>
    <t>radio echo sounding; radio glaciology; ice thickness measurements; internal layering</t>
  </si>
  <si>
    <t>AIRBORNE RADAR SURVEY; SURFACE; TOPOGRAPHY; MORPHOLOGY; REGION</t>
  </si>
  <si>
    <t>In the frame of glaciology and palaeoclimate research, Talos Dome (72 degrees 48'S; 159 degrees 06'E), an ice dome on the East Antarctic plateau, represents the new selected site for a new deep ice core drilling. The increasing interest in this region is due to the fact that the ice accumulation is higher here than in other domes in East Antarctica. A new deep drilling in this site could give important information about the climate changes near the coast. Previous papers showed that the dome summit is situated above a sloped bedrock. A new position on a relatively flat bedrock 5-6 kin far from here in the SE direction was defined as a possible new ice core site for an European (Italy, France, Swiss and United Kingdom) drilling project named as TALDICE (TALos Dome Ice Core Project). This point, named as ID1 (159 degrees 11'00E; 72 degrees 49'40'S), became the centre of the Radio Echo Sounding (RES) flight plan during the 2003 Italian Antarctic expedition, with the aim of confirming the new drilling site choice. In this paper 2001 and 2003 RES data sets have been used to draw a better resolution of ice thickness, bottom morphology and internal layering of a restricted area around the dome. Based on the final results, point ID I has been confirmed as the new coring site. Finally, the preliminary operations about the installation of the summer ice core camp (TALDICE) at ID1 site carried out during the XX Italian Antarctic expedition (November 2004-December 2005) are briefly described.</t>
  </si>
  <si>
    <t>Ist Nazl Geofis &amp; Vulcanol, I-00143 Rome, Italy; Univ Milan, Dipartimento Sci Terr Ardito Desio, Sez Geofis, Milan, Italy; ENEA, CRE Casaccia, Santa Maria Di Galeria, RM, Italy</t>
  </si>
  <si>
    <t>Istituto Nazionale Geofisica e Vulcanologia (INGV); University of Milan; Italian National Agency New Technical Energy &amp; Sustainable Economics Development</t>
  </si>
  <si>
    <t>Urbini, S (corresponding author), Ist Nazl Geofis &amp; Vulcanol, Via Vigna Murata 605, I-00143 Rome, Italy.</t>
  </si>
  <si>
    <t>urbinis@ingv.it</t>
  </si>
  <si>
    <t>Zirizzotti, Achille/HKE-0592-2023; Cafarella, Lili/HTO-5890-2023; FREZZOTTI, Massimo/AAK-7275-2020; cafarella, lili/G-4160-2011</t>
  </si>
  <si>
    <t>FREZZOTTI, Massimo/0000-0002-2461-2883; urbini, stefano/0000-0002-8053-4197; Zirizzotti, Achille/0000-0001-7586-9219; cafarella, lili/0000-0003-2005-8923</t>
  </si>
  <si>
    <t>EDITRICE COMPOSITORI BOLOGNA</t>
  </si>
  <si>
    <t>BOLOGNA</t>
  </si>
  <si>
    <t>VIA STALINGRADO 97/2, I-40128 BOLOGNA, ITALY</t>
  </si>
  <si>
    <t>1593-5213</t>
  </si>
  <si>
    <t>ANN GEOPHYS-ITALY</t>
  </si>
  <si>
    <t>Ann. Geophys.</t>
  </si>
  <si>
    <t>AUG-OCT</t>
  </si>
  <si>
    <t>155TZ</t>
  </si>
  <si>
    <t>WOS:000245602500019</t>
  </si>
  <si>
    <t>Boenigk, J; Pfandl, K; Garstecki, T; Harms, H; Novarino, G; Chatzinotas, A</t>
  </si>
  <si>
    <t>Boenigk, Jens; Pfandl, Karin; Garstecki, Tobias; Harms, Hauke; Novarino, Gianfranco; Chatzinotas, Antonis</t>
  </si>
  <si>
    <t>Evidence for geographic isolation and signs of endemism within a protistan morphospecies</t>
  </si>
  <si>
    <t>APPLIED AND ENVIRONMENTAL MICROBIOLOGY</t>
  </si>
  <si>
    <t>DIVERSITY; DYNAMICS; MARINE; DISPERSAL; HABITATS; PATTERNS; UBIQUITY; PROTOZOA; LAKE</t>
  </si>
  <si>
    <t>The possible existence of endemism among microorganisms resulting from and preserved by geographic isolation is one of the most controversial topics in microbial ecology. We isolated 31 strains of Spumella-like flagellates from remote sampling sites from all continents, including Antarctica. These and another 23 isolates from a former study were characterized morphologically and by small-subunit rRNA gene sequence analysis and tested for the maximum temperature tolerance. Only a minority of the Spumella morpho- and phylotypes from the geographically isolated Antarctic continent follow the worldwide trend of a linear correlation between ambient (air) temperature during strain isolation and heat tolerance of the isolates. A high percentage of the Antarctic isolates, but none of the isolates from locations on all other continents, were obligate psychrophilic, although some of the latter were isolated at low ambient temperatures. The drastic deviation of Antarctic representatives of Spumella from the global trend of temperature adaptation of this morphospecies provides strong evidence for geographic transport restriction of a microorganism; i.e., Antarctic protistan communities are less influenced by transport of protists to and from the Antarctic continent than by local adaptation, a subtle form of endemism.</t>
  </si>
  <si>
    <t>Austrian Acad Sci, Inst Limnol, A-5310 Mondsee, Austria; British Antarctic Survey, NERC, Cambridge CB3 0ET, England; Nat Hist Museum, Dept Zool, Protista &amp; Math Div, London SW7 5BD, England; UFZ Helmholtz Ctr Environm Res, Dept Environm Microbiol, D-04318 Leipzig, Germany</t>
  </si>
  <si>
    <t>Austrian Academy of Sciences; UK Research &amp; Innovation (UKRI); Natural Environment Research Council (NERC); NERC British Antarctic Survey; Natural History Museum London; Helmholtz Association; Helmholtz Center for Environmental Research (UFZ)</t>
  </si>
  <si>
    <t>Boenigk, J (corresponding author), Austrian Acad Sci, Inst Limnol, A-5310 Mondsee, Austria.</t>
  </si>
  <si>
    <t>jens.boenigk@oeaw.ac.at</t>
  </si>
  <si>
    <t>Boenigk, Jens/A-9377-2013; Harms, Hauke/I-4406-2012; Chatzinotas, Antonis/D-6232-2013</t>
  </si>
  <si>
    <t>Chatzinotas, Antonis/0000-0002-0387-9802</t>
  </si>
  <si>
    <t>Austrian Science Fund FWF [P 18767] Funding Source: Medline; NERC [bas010007] Funding Source: UKRI; Natural Environment Research Council [bas010007] Funding Source: researchfish</t>
  </si>
  <si>
    <t>Austrian Science Fund FWF(Austrian Science Fund (FWF)); NERC(UK Research &amp; Innovation (UKRI)Natural Environment Research Council (NERC)); Natural Environment Research Council(UK Research &amp; Innovation (UKRI)Natural Environment Research Council (NERC))</t>
  </si>
  <si>
    <t>1752 N ST NW, WASHINGTON, DC 20036-2904 USA</t>
  </si>
  <si>
    <t>0099-2240</t>
  </si>
  <si>
    <t>1098-5336</t>
  </si>
  <si>
    <t>APPL ENVIRON MICROB</t>
  </si>
  <si>
    <t>Appl. Environ. Microbiol.</t>
  </si>
  <si>
    <t>10.1128/AEM.00601-06</t>
  </si>
  <si>
    <t>073ZC</t>
  </si>
  <si>
    <t>WOS:000239780400003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</si>
</sst>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 x14ac:knownFonts="1">
    <font>
      <sz val="10"/>
      <name val="Arial"/>
    </font>
  </fonts>
  <fills count="2">
    <fill>
      <patternFill patternType="none"/>
    </fill>
    <fill>
      <patternFill patternType="gray125"/>
    </fill>
  </fills>
  <borders count="1">
    <border>
      <left/>
      <right/>
      <top/>
      <bottom/>
      <diagonal/>
    </border>
  </borders>
  <cellStyleXfs count="1">
    <xf numFmtId="0" fontId="0" fillId="0" borderId="0"/>
  </cellStyleXfs>
  <cellXfs count="1">
    <xf numFmtId="0" fontId="0" fillId="0" borderId="0" xfId="0"/>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T1001"/>
  <sheetViews>
    <sheetView tabSelected="1" workbookViewId="0"/>
  </sheetViews>
  <sheetFormatPr baseColWidth="10" defaultRowHeight="13" x14ac:dyDescent="0.15"/>
  <cols>
    <col min="1" max="256" width="8.83203125" customWidth="1"/>
  </cols>
  <sheetData>
    <row r="1" spans="1:72" x14ac:dyDescent="0.1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c r="AC1" t="s">
        <v>28</v>
      </c>
      <c r="AD1" t="s">
        <v>29</v>
      </c>
      <c r="AE1" t="s">
        <v>30</v>
      </c>
      <c r="AF1" t="s">
        <v>31</v>
      </c>
      <c r="AG1" t="s">
        <v>32</v>
      </c>
      <c r="AH1" t="s">
        <v>33</v>
      </c>
      <c r="AI1" t="s">
        <v>34</v>
      </c>
      <c r="AJ1" t="s">
        <v>35</v>
      </c>
      <c r="AK1" t="s">
        <v>36</v>
      </c>
      <c r="AL1" t="s">
        <v>37</v>
      </c>
      <c r="AM1" t="s">
        <v>38</v>
      </c>
      <c r="AN1" t="s">
        <v>39</v>
      </c>
      <c r="AO1" t="s">
        <v>40</v>
      </c>
      <c r="AP1" t="s">
        <v>41</v>
      </c>
      <c r="AQ1" t="s">
        <v>42</v>
      </c>
      <c r="AR1" t="s">
        <v>43</v>
      </c>
      <c r="AS1" t="s">
        <v>44</v>
      </c>
      <c r="AT1" t="s">
        <v>45</v>
      </c>
      <c r="AU1" t="s">
        <v>46</v>
      </c>
      <c r="AV1" t="s">
        <v>47</v>
      </c>
      <c r="AW1" t="s">
        <v>48</v>
      </c>
      <c r="AX1" t="s">
        <v>49</v>
      </c>
      <c r="AY1" t="s">
        <v>50</v>
      </c>
      <c r="AZ1" t="s">
        <v>51</v>
      </c>
      <c r="BA1" t="s">
        <v>52</v>
      </c>
      <c r="BB1" t="s">
        <v>53</v>
      </c>
      <c r="BC1" t="s">
        <v>54</v>
      </c>
      <c r="BD1" t="s">
        <v>55</v>
      </c>
      <c r="BE1" t="s">
        <v>56</v>
      </c>
      <c r="BF1" t="s">
        <v>57</v>
      </c>
      <c r="BG1" t="s">
        <v>58</v>
      </c>
      <c r="BH1" t="s">
        <v>59</v>
      </c>
      <c r="BI1" t="s">
        <v>60</v>
      </c>
      <c r="BJ1" t="s">
        <v>61</v>
      </c>
      <c r="BK1" t="s">
        <v>62</v>
      </c>
      <c r="BL1" t="s">
        <v>63</v>
      </c>
      <c r="BM1" t="s">
        <v>64</v>
      </c>
      <c r="BN1" t="s">
        <v>65</v>
      </c>
      <c r="BO1" t="s">
        <v>66</v>
      </c>
      <c r="BP1" t="s">
        <v>67</v>
      </c>
      <c r="BQ1" t="s">
        <v>68</v>
      </c>
      <c r="BR1" t="s">
        <v>69</v>
      </c>
      <c r="BS1" t="s">
        <v>70</v>
      </c>
      <c r="BT1" t="s">
        <v>71</v>
      </c>
    </row>
    <row r="2" spans="1:72" x14ac:dyDescent="0.15">
      <c r="A2" t="s">
        <v>72</v>
      </c>
      <c r="B2" t="s">
        <v>73</v>
      </c>
      <c r="C2" t="s">
        <v>74</v>
      </c>
      <c r="D2" t="s">
        <v>74</v>
      </c>
      <c r="E2" t="s">
        <v>74</v>
      </c>
      <c r="F2" t="s">
        <v>75</v>
      </c>
      <c r="G2" t="s">
        <v>74</v>
      </c>
      <c r="H2" t="s">
        <v>74</v>
      </c>
      <c r="I2" t="s">
        <v>76</v>
      </c>
      <c r="J2" t="s">
        <v>77</v>
      </c>
      <c r="K2" t="s">
        <v>74</v>
      </c>
      <c r="L2" t="s">
        <v>74</v>
      </c>
      <c r="M2" t="s">
        <v>78</v>
      </c>
      <c r="N2" t="s">
        <v>79</v>
      </c>
      <c r="O2" t="s">
        <v>74</v>
      </c>
      <c r="P2" t="s">
        <v>74</v>
      </c>
      <c r="Q2" t="s">
        <v>74</v>
      </c>
      <c r="R2" t="s">
        <v>74</v>
      </c>
      <c r="S2" t="s">
        <v>74</v>
      </c>
      <c r="T2" t="s">
        <v>74</v>
      </c>
      <c r="U2" t="s">
        <v>80</v>
      </c>
      <c r="V2" t="s">
        <v>81</v>
      </c>
      <c r="W2" t="s">
        <v>82</v>
      </c>
      <c r="X2" t="s">
        <v>83</v>
      </c>
      <c r="Y2" t="s">
        <v>84</v>
      </c>
      <c r="Z2" t="s">
        <v>85</v>
      </c>
      <c r="AA2" t="s">
        <v>86</v>
      </c>
      <c r="AB2" t="s">
        <v>87</v>
      </c>
      <c r="AC2" t="s">
        <v>74</v>
      </c>
      <c r="AD2" t="s">
        <v>74</v>
      </c>
      <c r="AE2" t="s">
        <v>74</v>
      </c>
      <c r="AF2" t="s">
        <v>74</v>
      </c>
      <c r="AG2">
        <v>27</v>
      </c>
      <c r="AH2">
        <v>26</v>
      </c>
      <c r="AI2">
        <v>32</v>
      </c>
      <c r="AJ2">
        <v>0</v>
      </c>
      <c r="AK2">
        <v>22</v>
      </c>
      <c r="AL2" t="s">
        <v>88</v>
      </c>
      <c r="AM2" t="s">
        <v>89</v>
      </c>
      <c r="AN2" t="s">
        <v>90</v>
      </c>
      <c r="AO2" t="s">
        <v>91</v>
      </c>
      <c r="AP2" t="s">
        <v>74</v>
      </c>
      <c r="AQ2" t="s">
        <v>74</v>
      </c>
      <c r="AR2" t="s">
        <v>92</v>
      </c>
      <c r="AS2" t="s">
        <v>93</v>
      </c>
      <c r="AT2" t="s">
        <v>74</v>
      </c>
      <c r="AU2">
        <v>2007</v>
      </c>
      <c r="AV2">
        <v>32</v>
      </c>
      <c r="AW2" t="s">
        <v>94</v>
      </c>
      <c r="AX2" t="s">
        <v>74</v>
      </c>
      <c r="AY2" t="s">
        <v>74</v>
      </c>
      <c r="AZ2" t="s">
        <v>74</v>
      </c>
      <c r="BA2" t="s">
        <v>74</v>
      </c>
      <c r="BB2">
        <v>63</v>
      </c>
      <c r="BC2">
        <v>74</v>
      </c>
      <c r="BD2" t="s">
        <v>74</v>
      </c>
      <c r="BE2" t="s">
        <v>95</v>
      </c>
      <c r="BF2" t="str">
        <f>HYPERLINK("http://dx.doi.org/10.1007/s00723-007-0012-5","http://dx.doi.org/10.1007/s00723-007-0012-5")</f>
        <v>http://dx.doi.org/10.1007/s00723-007-0012-5</v>
      </c>
      <c r="BG2" t="s">
        <v>74</v>
      </c>
      <c r="BH2" t="s">
        <v>74</v>
      </c>
      <c r="BI2">
        <v>12</v>
      </c>
      <c r="BJ2" t="s">
        <v>96</v>
      </c>
      <c r="BK2" t="s">
        <v>97</v>
      </c>
      <c r="BL2" t="s">
        <v>98</v>
      </c>
      <c r="BM2" t="s">
        <v>99</v>
      </c>
      <c r="BN2" t="s">
        <v>74</v>
      </c>
      <c r="BO2" t="s">
        <v>74</v>
      </c>
      <c r="BP2" t="s">
        <v>74</v>
      </c>
      <c r="BQ2" t="s">
        <v>74</v>
      </c>
      <c r="BR2" t="s">
        <v>100</v>
      </c>
      <c r="BS2" t="s">
        <v>101</v>
      </c>
      <c r="BT2" t="str">
        <f>HYPERLINK("https%3A%2F%2Fwww.webofscience.com%2Fwos%2Fwoscc%2Ffull-record%2FWOS:000249319500006","View Full Record in Web of Science")</f>
        <v>View Full Record in Web of Science</v>
      </c>
    </row>
    <row r="3" spans="1:72" x14ac:dyDescent="0.15">
      <c r="A3" t="s">
        <v>72</v>
      </c>
      <c r="B3" t="s">
        <v>102</v>
      </c>
      <c r="C3" t="s">
        <v>74</v>
      </c>
      <c r="D3" t="s">
        <v>74</v>
      </c>
      <c r="E3" t="s">
        <v>74</v>
      </c>
      <c r="F3" t="s">
        <v>103</v>
      </c>
      <c r="G3" t="s">
        <v>74</v>
      </c>
      <c r="H3" t="s">
        <v>74</v>
      </c>
      <c r="I3" t="s">
        <v>104</v>
      </c>
      <c r="J3" t="s">
        <v>105</v>
      </c>
      <c r="K3" t="s">
        <v>74</v>
      </c>
      <c r="L3" t="s">
        <v>74</v>
      </c>
      <c r="M3" t="s">
        <v>78</v>
      </c>
      <c r="N3" t="s">
        <v>79</v>
      </c>
      <c r="O3" t="s">
        <v>74</v>
      </c>
      <c r="P3" t="s">
        <v>74</v>
      </c>
      <c r="Q3" t="s">
        <v>74</v>
      </c>
      <c r="R3" t="s">
        <v>74</v>
      </c>
      <c r="S3" t="s">
        <v>74</v>
      </c>
      <c r="T3" t="s">
        <v>106</v>
      </c>
      <c r="U3" t="s">
        <v>107</v>
      </c>
      <c r="V3" t="s">
        <v>108</v>
      </c>
      <c r="W3" t="s">
        <v>109</v>
      </c>
      <c r="X3" t="s">
        <v>110</v>
      </c>
      <c r="Y3" t="s">
        <v>111</v>
      </c>
      <c r="Z3" t="s">
        <v>112</v>
      </c>
      <c r="AA3" t="s">
        <v>113</v>
      </c>
      <c r="AB3" t="s">
        <v>114</v>
      </c>
      <c r="AC3" t="s">
        <v>74</v>
      </c>
      <c r="AD3" t="s">
        <v>74</v>
      </c>
      <c r="AE3" t="s">
        <v>74</v>
      </c>
      <c r="AF3" t="s">
        <v>74</v>
      </c>
      <c r="AG3">
        <v>31</v>
      </c>
      <c r="AH3">
        <v>32</v>
      </c>
      <c r="AI3">
        <v>36</v>
      </c>
      <c r="AJ3">
        <v>0</v>
      </c>
      <c r="AK3">
        <v>9</v>
      </c>
      <c r="AL3" t="s">
        <v>115</v>
      </c>
      <c r="AM3" t="s">
        <v>116</v>
      </c>
      <c r="AN3" t="s">
        <v>117</v>
      </c>
      <c r="AO3" t="s">
        <v>118</v>
      </c>
      <c r="AP3" t="s">
        <v>74</v>
      </c>
      <c r="AQ3" t="s">
        <v>74</v>
      </c>
      <c r="AR3" t="s">
        <v>119</v>
      </c>
      <c r="AS3" t="s">
        <v>120</v>
      </c>
      <c r="AT3" t="s">
        <v>74</v>
      </c>
      <c r="AU3">
        <v>2007</v>
      </c>
      <c r="AV3">
        <v>1</v>
      </c>
      <c r="AW3">
        <v>1</v>
      </c>
      <c r="AX3" t="s">
        <v>74</v>
      </c>
      <c r="AY3" t="s">
        <v>74</v>
      </c>
      <c r="AZ3" t="s">
        <v>74</v>
      </c>
      <c r="BA3" t="s">
        <v>74</v>
      </c>
      <c r="BB3">
        <v>21</v>
      </c>
      <c r="BC3">
        <v>32</v>
      </c>
      <c r="BD3" t="s">
        <v>74</v>
      </c>
      <c r="BE3" t="s">
        <v>121</v>
      </c>
      <c r="BF3" t="str">
        <f>HYPERLINK("http://dx.doi.org/10.3354/ab00003","http://dx.doi.org/10.3354/ab00003")</f>
        <v>http://dx.doi.org/10.3354/ab00003</v>
      </c>
      <c r="BG3" t="s">
        <v>74</v>
      </c>
      <c r="BH3" t="s">
        <v>74</v>
      </c>
      <c r="BI3">
        <v>12</v>
      </c>
      <c r="BJ3" t="s">
        <v>122</v>
      </c>
      <c r="BK3" t="s">
        <v>97</v>
      </c>
      <c r="BL3" t="s">
        <v>122</v>
      </c>
      <c r="BM3" t="s">
        <v>123</v>
      </c>
      <c r="BN3" t="s">
        <v>74</v>
      </c>
      <c r="BO3" t="s">
        <v>124</v>
      </c>
      <c r="BP3" t="s">
        <v>74</v>
      </c>
      <c r="BQ3" t="s">
        <v>74</v>
      </c>
      <c r="BR3" t="s">
        <v>100</v>
      </c>
      <c r="BS3" t="s">
        <v>125</v>
      </c>
      <c r="BT3" t="str">
        <f>HYPERLINK("https%3A%2F%2Fwww.webofscience.com%2Fwos%2Fwoscc%2Ffull-record%2FWOS:000259340900004","View Full Record in Web of Science")</f>
        <v>View Full Record in Web of Science</v>
      </c>
    </row>
    <row r="4" spans="1:72" x14ac:dyDescent="0.15">
      <c r="A4" t="s">
        <v>72</v>
      </c>
      <c r="B4" t="s">
        <v>126</v>
      </c>
      <c r="C4" t="s">
        <v>74</v>
      </c>
      <c r="D4" t="s">
        <v>74</v>
      </c>
      <c r="E4" t="s">
        <v>74</v>
      </c>
      <c r="F4" t="s">
        <v>127</v>
      </c>
      <c r="G4" t="s">
        <v>74</v>
      </c>
      <c r="H4" t="s">
        <v>74</v>
      </c>
      <c r="I4" t="s">
        <v>128</v>
      </c>
      <c r="J4" t="s">
        <v>105</v>
      </c>
      <c r="K4" t="s">
        <v>74</v>
      </c>
      <c r="L4" t="s">
        <v>74</v>
      </c>
      <c r="M4" t="s">
        <v>78</v>
      </c>
      <c r="N4" t="s">
        <v>79</v>
      </c>
      <c r="O4" t="s">
        <v>74</v>
      </c>
      <c r="P4" t="s">
        <v>74</v>
      </c>
      <c r="Q4" t="s">
        <v>74</v>
      </c>
      <c r="R4" t="s">
        <v>74</v>
      </c>
      <c r="S4" t="s">
        <v>74</v>
      </c>
      <c r="T4" t="s">
        <v>129</v>
      </c>
      <c r="U4" t="s">
        <v>130</v>
      </c>
      <c r="V4" t="s">
        <v>131</v>
      </c>
      <c r="W4" t="s">
        <v>132</v>
      </c>
      <c r="X4" t="s">
        <v>133</v>
      </c>
      <c r="Y4" t="s">
        <v>134</v>
      </c>
      <c r="Z4" t="s">
        <v>135</v>
      </c>
      <c r="AA4" t="s">
        <v>136</v>
      </c>
      <c r="AB4" t="s">
        <v>137</v>
      </c>
      <c r="AC4" t="s">
        <v>138</v>
      </c>
      <c r="AD4" t="s">
        <v>139</v>
      </c>
      <c r="AE4" t="s">
        <v>140</v>
      </c>
      <c r="AF4" t="s">
        <v>74</v>
      </c>
      <c r="AG4">
        <v>37</v>
      </c>
      <c r="AH4">
        <v>32</v>
      </c>
      <c r="AI4">
        <v>33</v>
      </c>
      <c r="AJ4">
        <v>0</v>
      </c>
      <c r="AK4">
        <v>32</v>
      </c>
      <c r="AL4" t="s">
        <v>115</v>
      </c>
      <c r="AM4" t="s">
        <v>116</v>
      </c>
      <c r="AN4" t="s">
        <v>117</v>
      </c>
      <c r="AO4" t="s">
        <v>118</v>
      </c>
      <c r="AP4" t="s">
        <v>141</v>
      </c>
      <c r="AQ4" t="s">
        <v>74</v>
      </c>
      <c r="AR4" t="s">
        <v>119</v>
      </c>
      <c r="AS4" t="s">
        <v>120</v>
      </c>
      <c r="AT4" t="s">
        <v>74</v>
      </c>
      <c r="AU4">
        <v>2007</v>
      </c>
      <c r="AV4">
        <v>1</v>
      </c>
      <c r="AW4">
        <v>1</v>
      </c>
      <c r="AX4" t="s">
        <v>74</v>
      </c>
      <c r="AY4" t="s">
        <v>74</v>
      </c>
      <c r="AZ4" t="s">
        <v>74</v>
      </c>
      <c r="BA4" t="s">
        <v>74</v>
      </c>
      <c r="BB4">
        <v>45</v>
      </c>
      <c r="BC4">
        <v>53</v>
      </c>
      <c r="BD4" t="s">
        <v>74</v>
      </c>
      <c r="BE4" t="s">
        <v>142</v>
      </c>
      <c r="BF4" t="str">
        <f>HYPERLINK("http://dx.doi.org/10.3354/ab00004","http://dx.doi.org/10.3354/ab00004")</f>
        <v>http://dx.doi.org/10.3354/ab00004</v>
      </c>
      <c r="BG4" t="s">
        <v>74</v>
      </c>
      <c r="BH4" t="s">
        <v>74</v>
      </c>
      <c r="BI4">
        <v>9</v>
      </c>
      <c r="BJ4" t="s">
        <v>122</v>
      </c>
      <c r="BK4" t="s">
        <v>97</v>
      </c>
      <c r="BL4" t="s">
        <v>122</v>
      </c>
      <c r="BM4" t="s">
        <v>123</v>
      </c>
      <c r="BN4" t="s">
        <v>74</v>
      </c>
      <c r="BO4" t="s">
        <v>124</v>
      </c>
      <c r="BP4" t="s">
        <v>74</v>
      </c>
      <c r="BQ4" t="s">
        <v>74</v>
      </c>
      <c r="BR4" t="s">
        <v>100</v>
      </c>
      <c r="BS4" t="s">
        <v>143</v>
      </c>
      <c r="BT4" t="str">
        <f>HYPERLINK("https%3A%2F%2Fwww.webofscience.com%2Fwos%2Fwoscc%2Ffull-record%2FWOS:000259340900006","View Full Record in Web of Science")</f>
        <v>View Full Record in Web of Science</v>
      </c>
    </row>
    <row r="5" spans="1:72" x14ac:dyDescent="0.15">
      <c r="A5" t="s">
        <v>72</v>
      </c>
      <c r="B5" t="s">
        <v>144</v>
      </c>
      <c r="C5" t="s">
        <v>74</v>
      </c>
      <c r="D5" t="s">
        <v>74</v>
      </c>
      <c r="E5" t="s">
        <v>74</v>
      </c>
      <c r="F5" t="s">
        <v>145</v>
      </c>
      <c r="G5" t="s">
        <v>74</v>
      </c>
      <c r="H5" t="s">
        <v>74</v>
      </c>
      <c r="I5" t="s">
        <v>146</v>
      </c>
      <c r="J5" t="s">
        <v>147</v>
      </c>
      <c r="K5" t="s">
        <v>74</v>
      </c>
      <c r="L5" t="s">
        <v>74</v>
      </c>
      <c r="M5" t="s">
        <v>78</v>
      </c>
      <c r="N5" t="s">
        <v>79</v>
      </c>
      <c r="O5" t="s">
        <v>74</v>
      </c>
      <c r="P5" t="s">
        <v>74</v>
      </c>
      <c r="Q5" t="s">
        <v>74</v>
      </c>
      <c r="R5" t="s">
        <v>74</v>
      </c>
      <c r="S5" t="s">
        <v>74</v>
      </c>
      <c r="T5" t="s">
        <v>148</v>
      </c>
      <c r="U5" t="s">
        <v>149</v>
      </c>
      <c r="V5" t="s">
        <v>150</v>
      </c>
      <c r="W5" t="s">
        <v>151</v>
      </c>
      <c r="X5" t="s">
        <v>152</v>
      </c>
      <c r="Y5" t="s">
        <v>153</v>
      </c>
      <c r="Z5" t="s">
        <v>154</v>
      </c>
      <c r="AA5" t="s">
        <v>155</v>
      </c>
      <c r="AB5" t="s">
        <v>156</v>
      </c>
      <c r="AC5" t="s">
        <v>157</v>
      </c>
      <c r="AD5" t="s">
        <v>158</v>
      </c>
      <c r="AE5" t="s">
        <v>74</v>
      </c>
      <c r="AF5" t="s">
        <v>74</v>
      </c>
      <c r="AG5">
        <v>51</v>
      </c>
      <c r="AH5">
        <v>28</v>
      </c>
      <c r="AI5">
        <v>30</v>
      </c>
      <c r="AJ5">
        <v>0</v>
      </c>
      <c r="AK5">
        <v>16</v>
      </c>
      <c r="AL5" t="s">
        <v>159</v>
      </c>
      <c r="AM5" t="s">
        <v>160</v>
      </c>
      <c r="AN5" t="s">
        <v>161</v>
      </c>
      <c r="AO5" t="s">
        <v>162</v>
      </c>
      <c r="AP5" t="s">
        <v>163</v>
      </c>
      <c r="AQ5" t="s">
        <v>74</v>
      </c>
      <c r="AR5" t="s">
        <v>164</v>
      </c>
      <c r="AS5" t="s">
        <v>165</v>
      </c>
      <c r="AT5" t="s">
        <v>166</v>
      </c>
      <c r="AU5">
        <v>2007</v>
      </c>
      <c r="AV5">
        <v>17</v>
      </c>
      <c r="AW5">
        <v>1</v>
      </c>
      <c r="AX5" t="s">
        <v>74</v>
      </c>
      <c r="AY5" t="s">
        <v>74</v>
      </c>
      <c r="AZ5" t="s">
        <v>74</v>
      </c>
      <c r="BA5" t="s">
        <v>74</v>
      </c>
      <c r="BB5">
        <v>51</v>
      </c>
      <c r="BC5">
        <v>70</v>
      </c>
      <c r="BD5" t="s">
        <v>74</v>
      </c>
      <c r="BE5" t="s">
        <v>167</v>
      </c>
      <c r="BF5" t="str">
        <f>HYPERLINK("http://dx.doi.org/10.1002/aqc.732","http://dx.doi.org/10.1002/aqc.732")</f>
        <v>http://dx.doi.org/10.1002/aqc.732</v>
      </c>
      <c r="BG5" t="s">
        <v>74</v>
      </c>
      <c r="BH5" t="s">
        <v>74</v>
      </c>
      <c r="BI5">
        <v>20</v>
      </c>
      <c r="BJ5" t="s">
        <v>168</v>
      </c>
      <c r="BK5" t="s">
        <v>97</v>
      </c>
      <c r="BL5" t="s">
        <v>169</v>
      </c>
      <c r="BM5" t="s">
        <v>170</v>
      </c>
      <c r="BN5" t="s">
        <v>74</v>
      </c>
      <c r="BO5" t="s">
        <v>124</v>
      </c>
      <c r="BP5" t="s">
        <v>74</v>
      </c>
      <c r="BQ5" t="s">
        <v>74</v>
      </c>
      <c r="BR5" t="s">
        <v>100</v>
      </c>
      <c r="BS5" t="s">
        <v>171</v>
      </c>
      <c r="BT5" t="str">
        <f>HYPERLINK("https%3A%2F%2Fwww.webofscience.com%2Fwos%2Fwoscc%2Ffull-record%2FWOS:000243665100005","View Full Record in Web of Science")</f>
        <v>View Full Record in Web of Science</v>
      </c>
    </row>
    <row r="6" spans="1:72" x14ac:dyDescent="0.15">
      <c r="A6" t="s">
        <v>72</v>
      </c>
      <c r="B6" t="s">
        <v>172</v>
      </c>
      <c r="C6" t="s">
        <v>74</v>
      </c>
      <c r="D6" t="s">
        <v>74</v>
      </c>
      <c r="E6" t="s">
        <v>74</v>
      </c>
      <c r="F6" t="s">
        <v>173</v>
      </c>
      <c r="G6" t="s">
        <v>74</v>
      </c>
      <c r="H6" t="s">
        <v>74</v>
      </c>
      <c r="I6" t="s">
        <v>174</v>
      </c>
      <c r="J6" t="s">
        <v>175</v>
      </c>
      <c r="K6" t="s">
        <v>74</v>
      </c>
      <c r="L6" t="s">
        <v>74</v>
      </c>
      <c r="M6" t="s">
        <v>78</v>
      </c>
      <c r="N6" t="s">
        <v>176</v>
      </c>
      <c r="O6" t="s">
        <v>177</v>
      </c>
      <c r="P6" t="s">
        <v>178</v>
      </c>
      <c r="Q6" t="s">
        <v>179</v>
      </c>
      <c r="R6" t="s">
        <v>74</v>
      </c>
      <c r="S6" t="s">
        <v>180</v>
      </c>
      <c r="T6" t="s">
        <v>181</v>
      </c>
      <c r="U6" t="s">
        <v>182</v>
      </c>
      <c r="V6" t="s">
        <v>183</v>
      </c>
      <c r="W6" t="s">
        <v>184</v>
      </c>
      <c r="X6" t="s">
        <v>185</v>
      </c>
      <c r="Y6" t="s">
        <v>74</v>
      </c>
      <c r="Z6" t="s">
        <v>186</v>
      </c>
      <c r="AA6" t="s">
        <v>74</v>
      </c>
      <c r="AB6" t="s">
        <v>187</v>
      </c>
      <c r="AC6" t="s">
        <v>74</v>
      </c>
      <c r="AD6" t="s">
        <v>74</v>
      </c>
      <c r="AE6" t="s">
        <v>74</v>
      </c>
      <c r="AF6" t="s">
        <v>74</v>
      </c>
      <c r="AG6">
        <v>48</v>
      </c>
      <c r="AH6">
        <v>57</v>
      </c>
      <c r="AI6">
        <v>72</v>
      </c>
      <c r="AJ6">
        <v>0</v>
      </c>
      <c r="AK6">
        <v>15</v>
      </c>
      <c r="AL6" t="s">
        <v>188</v>
      </c>
      <c r="AM6" t="s">
        <v>189</v>
      </c>
      <c r="AN6" t="s">
        <v>190</v>
      </c>
      <c r="AO6" t="s">
        <v>191</v>
      </c>
      <c r="AP6" t="s">
        <v>192</v>
      </c>
      <c r="AQ6" t="s">
        <v>74</v>
      </c>
      <c r="AR6" t="s">
        <v>193</v>
      </c>
      <c r="AS6" t="s">
        <v>194</v>
      </c>
      <c r="AT6" t="s">
        <v>74</v>
      </c>
      <c r="AU6">
        <v>2007</v>
      </c>
      <c r="AV6">
        <v>69</v>
      </c>
      <c r="AW6">
        <v>3</v>
      </c>
      <c r="AX6" t="s">
        <v>74</v>
      </c>
      <c r="AY6" t="s">
        <v>74</v>
      </c>
      <c r="AZ6" t="s">
        <v>74</v>
      </c>
      <c r="BA6" t="s">
        <v>74</v>
      </c>
      <c r="BB6">
        <v>305</v>
      </c>
      <c r="BC6">
        <v>319</v>
      </c>
      <c r="BD6" t="s">
        <v>74</v>
      </c>
      <c r="BE6" t="s">
        <v>195</v>
      </c>
      <c r="BF6" t="str">
        <f>HYPERLINK("http://dx.doi.org/10.1007/s00027-007-0892-3","http://dx.doi.org/10.1007/s00027-007-0892-3")</f>
        <v>http://dx.doi.org/10.1007/s00027-007-0892-3</v>
      </c>
      <c r="BG6" t="s">
        <v>74</v>
      </c>
      <c r="BH6" t="s">
        <v>74</v>
      </c>
      <c r="BI6">
        <v>15</v>
      </c>
      <c r="BJ6" t="s">
        <v>196</v>
      </c>
      <c r="BK6" t="s">
        <v>197</v>
      </c>
      <c r="BL6" t="s">
        <v>198</v>
      </c>
      <c r="BM6" t="s">
        <v>199</v>
      </c>
      <c r="BN6" t="s">
        <v>74</v>
      </c>
      <c r="BO6" t="s">
        <v>74</v>
      </c>
      <c r="BP6" t="s">
        <v>74</v>
      </c>
      <c r="BQ6" t="s">
        <v>74</v>
      </c>
      <c r="BR6" t="s">
        <v>100</v>
      </c>
      <c r="BS6" t="s">
        <v>200</v>
      </c>
      <c r="BT6" t="str">
        <f>HYPERLINK("https%3A%2F%2Fwww.webofscience.com%2Fwos%2Fwoscc%2Ffull-record%2FWOS:000249946900003","View Full Record in Web of Science")</f>
        <v>View Full Record in Web of Science</v>
      </c>
    </row>
    <row r="7" spans="1:72" x14ac:dyDescent="0.15">
      <c r="A7" t="s">
        <v>72</v>
      </c>
      <c r="B7" t="s">
        <v>201</v>
      </c>
      <c r="C7" t="s">
        <v>74</v>
      </c>
      <c r="D7" t="s">
        <v>74</v>
      </c>
      <c r="E7" t="s">
        <v>74</v>
      </c>
      <c r="F7" t="s">
        <v>202</v>
      </c>
      <c r="G7" t="s">
        <v>74</v>
      </c>
      <c r="H7" t="s">
        <v>74</v>
      </c>
      <c r="I7" t="s">
        <v>203</v>
      </c>
      <c r="J7" t="s">
        <v>175</v>
      </c>
      <c r="K7" t="s">
        <v>74</v>
      </c>
      <c r="L7" t="s">
        <v>74</v>
      </c>
      <c r="M7" t="s">
        <v>78</v>
      </c>
      <c r="N7" t="s">
        <v>176</v>
      </c>
      <c r="O7" t="s">
        <v>177</v>
      </c>
      <c r="P7" t="s">
        <v>178</v>
      </c>
      <c r="Q7" t="s">
        <v>179</v>
      </c>
      <c r="R7" t="s">
        <v>74</v>
      </c>
      <c r="S7" t="s">
        <v>180</v>
      </c>
      <c r="T7" t="s">
        <v>204</v>
      </c>
      <c r="U7" t="s">
        <v>205</v>
      </c>
      <c r="V7" t="s">
        <v>206</v>
      </c>
      <c r="W7" t="s">
        <v>207</v>
      </c>
      <c r="X7" t="s">
        <v>208</v>
      </c>
      <c r="Y7" t="s">
        <v>209</v>
      </c>
      <c r="Z7" t="s">
        <v>210</v>
      </c>
      <c r="AA7" t="s">
        <v>74</v>
      </c>
      <c r="AB7" t="s">
        <v>187</v>
      </c>
      <c r="AC7" t="s">
        <v>74</v>
      </c>
      <c r="AD7" t="s">
        <v>74</v>
      </c>
      <c r="AE7" t="s">
        <v>74</v>
      </c>
      <c r="AF7" t="s">
        <v>74</v>
      </c>
      <c r="AG7">
        <v>25</v>
      </c>
      <c r="AH7">
        <v>23</v>
      </c>
      <c r="AI7">
        <v>29</v>
      </c>
      <c r="AJ7">
        <v>0</v>
      </c>
      <c r="AK7">
        <v>14</v>
      </c>
      <c r="AL7" t="s">
        <v>188</v>
      </c>
      <c r="AM7" t="s">
        <v>189</v>
      </c>
      <c r="AN7" t="s">
        <v>190</v>
      </c>
      <c r="AO7" t="s">
        <v>191</v>
      </c>
      <c r="AP7" t="s">
        <v>74</v>
      </c>
      <c r="AQ7" t="s">
        <v>74</v>
      </c>
      <c r="AR7" t="s">
        <v>193</v>
      </c>
      <c r="AS7" t="s">
        <v>194</v>
      </c>
      <c r="AT7" t="s">
        <v>74</v>
      </c>
      <c r="AU7">
        <v>2007</v>
      </c>
      <c r="AV7">
        <v>69</v>
      </c>
      <c r="AW7">
        <v>3</v>
      </c>
      <c r="AX7" t="s">
        <v>74</v>
      </c>
      <c r="AY7" t="s">
        <v>74</v>
      </c>
      <c r="AZ7" t="s">
        <v>74</v>
      </c>
      <c r="BA7" t="s">
        <v>74</v>
      </c>
      <c r="BB7">
        <v>360</v>
      </c>
      <c r="BC7">
        <v>376</v>
      </c>
      <c r="BD7" t="s">
        <v>74</v>
      </c>
      <c r="BE7" t="s">
        <v>211</v>
      </c>
      <c r="BF7" t="str">
        <f>HYPERLINK("http://dx.doi.org/10.1007/s00027-007-0895-0","http://dx.doi.org/10.1007/s00027-007-0895-0")</f>
        <v>http://dx.doi.org/10.1007/s00027-007-0895-0</v>
      </c>
      <c r="BG7" t="s">
        <v>74</v>
      </c>
      <c r="BH7" t="s">
        <v>74</v>
      </c>
      <c r="BI7">
        <v>17</v>
      </c>
      <c r="BJ7" t="s">
        <v>196</v>
      </c>
      <c r="BK7" t="s">
        <v>197</v>
      </c>
      <c r="BL7" t="s">
        <v>198</v>
      </c>
      <c r="BM7" t="s">
        <v>199</v>
      </c>
      <c r="BN7" t="s">
        <v>74</v>
      </c>
      <c r="BO7" t="s">
        <v>74</v>
      </c>
      <c r="BP7" t="s">
        <v>74</v>
      </c>
      <c r="BQ7" t="s">
        <v>74</v>
      </c>
      <c r="BR7" t="s">
        <v>100</v>
      </c>
      <c r="BS7" t="s">
        <v>212</v>
      </c>
      <c r="BT7" t="str">
        <f>HYPERLINK("https%3A%2F%2Fwww.webofscience.com%2Fwos%2Fwoscc%2Ffull-record%2FWOS:000249946900008","View Full Record in Web of Science")</f>
        <v>View Full Record in Web of Science</v>
      </c>
    </row>
    <row r="8" spans="1:72" x14ac:dyDescent="0.15">
      <c r="A8" t="s">
        <v>213</v>
      </c>
      <c r="B8" t="s">
        <v>214</v>
      </c>
      <c r="C8" t="s">
        <v>74</v>
      </c>
      <c r="D8" t="s">
        <v>215</v>
      </c>
      <c r="E8" t="s">
        <v>74</v>
      </c>
      <c r="F8" t="s">
        <v>216</v>
      </c>
      <c r="G8" t="s">
        <v>74</v>
      </c>
      <c r="H8" t="s">
        <v>74</v>
      </c>
      <c r="I8" t="s">
        <v>217</v>
      </c>
      <c r="J8" t="s">
        <v>218</v>
      </c>
      <c r="K8" t="s">
        <v>74</v>
      </c>
      <c r="L8" t="s">
        <v>74</v>
      </c>
      <c r="M8" t="s">
        <v>78</v>
      </c>
      <c r="N8" t="s">
        <v>219</v>
      </c>
      <c r="O8" t="s">
        <v>74</v>
      </c>
      <c r="P8" t="s">
        <v>74</v>
      </c>
      <c r="Q8" t="s">
        <v>74</v>
      </c>
      <c r="R8" t="s">
        <v>74</v>
      </c>
      <c r="S8" t="s">
        <v>74</v>
      </c>
      <c r="T8" t="s">
        <v>74</v>
      </c>
      <c r="U8" t="s">
        <v>220</v>
      </c>
      <c r="V8" t="s">
        <v>74</v>
      </c>
      <c r="W8" t="s">
        <v>74</v>
      </c>
      <c r="X8" t="s">
        <v>74</v>
      </c>
      <c r="Y8" t="s">
        <v>74</v>
      </c>
      <c r="Z8" t="s">
        <v>74</v>
      </c>
      <c r="AA8" t="s">
        <v>74</v>
      </c>
      <c r="AB8" t="s">
        <v>74</v>
      </c>
      <c r="AC8" t="s">
        <v>74</v>
      </c>
      <c r="AD8" t="s">
        <v>74</v>
      </c>
      <c r="AE8" t="s">
        <v>74</v>
      </c>
      <c r="AF8" t="s">
        <v>74</v>
      </c>
      <c r="AG8">
        <v>361</v>
      </c>
      <c r="AH8">
        <v>308</v>
      </c>
      <c r="AI8">
        <v>375</v>
      </c>
      <c r="AJ8">
        <v>0</v>
      </c>
      <c r="AK8">
        <v>3</v>
      </c>
      <c r="AL8" t="s">
        <v>221</v>
      </c>
      <c r="AM8" t="s">
        <v>222</v>
      </c>
      <c r="AN8" t="s">
        <v>223</v>
      </c>
      <c r="AO8" t="s">
        <v>74</v>
      </c>
      <c r="AP8" t="s">
        <v>74</v>
      </c>
      <c r="AQ8" t="s">
        <v>74</v>
      </c>
      <c r="AR8" t="s">
        <v>74</v>
      </c>
      <c r="AS8" t="s">
        <v>74</v>
      </c>
      <c r="AT8" t="s">
        <v>74</v>
      </c>
      <c r="AU8">
        <v>2007</v>
      </c>
      <c r="AV8" t="s">
        <v>74</v>
      </c>
      <c r="AW8" t="s">
        <v>74</v>
      </c>
      <c r="AX8" t="s">
        <v>74</v>
      </c>
      <c r="AY8" t="s">
        <v>74</v>
      </c>
      <c r="AZ8" t="s">
        <v>74</v>
      </c>
      <c r="BA8" t="s">
        <v>74</v>
      </c>
      <c r="BB8">
        <v>653</v>
      </c>
      <c r="BC8">
        <v>685</v>
      </c>
      <c r="BD8" t="s">
        <v>74</v>
      </c>
      <c r="BE8" t="s">
        <v>74</v>
      </c>
      <c r="BF8" t="s">
        <v>74</v>
      </c>
      <c r="BG8" t="s">
        <v>74</v>
      </c>
      <c r="BH8" t="s">
        <v>74</v>
      </c>
      <c r="BI8">
        <v>33</v>
      </c>
      <c r="BJ8" t="s">
        <v>224</v>
      </c>
      <c r="BK8" t="s">
        <v>225</v>
      </c>
      <c r="BL8" t="s">
        <v>226</v>
      </c>
      <c r="BM8" t="s">
        <v>227</v>
      </c>
      <c r="BN8" t="s">
        <v>74</v>
      </c>
      <c r="BO8" t="s">
        <v>74</v>
      </c>
      <c r="BP8" t="s">
        <v>74</v>
      </c>
      <c r="BQ8" t="s">
        <v>74</v>
      </c>
      <c r="BR8" t="s">
        <v>100</v>
      </c>
      <c r="BS8" t="s">
        <v>228</v>
      </c>
      <c r="BT8" t="str">
        <f>HYPERLINK("https%3A%2F%2Fwww.webofscience.com%2Fwos%2Fwoscc%2Ffull-record%2FWOS:000713666900020","View Full Record in Web of Science")</f>
        <v>View Full Record in Web of Science</v>
      </c>
    </row>
    <row r="9" spans="1:72" x14ac:dyDescent="0.15">
      <c r="A9" t="s">
        <v>213</v>
      </c>
      <c r="B9" t="s">
        <v>229</v>
      </c>
      <c r="C9" t="s">
        <v>74</v>
      </c>
      <c r="D9" t="s">
        <v>230</v>
      </c>
      <c r="E9" t="s">
        <v>74</v>
      </c>
      <c r="F9" t="s">
        <v>231</v>
      </c>
      <c r="G9" t="s">
        <v>74</v>
      </c>
      <c r="H9" t="s">
        <v>74</v>
      </c>
      <c r="I9" t="s">
        <v>232</v>
      </c>
      <c r="J9" t="s">
        <v>233</v>
      </c>
      <c r="K9" t="s">
        <v>74</v>
      </c>
      <c r="L9" t="s">
        <v>74</v>
      </c>
      <c r="M9" t="s">
        <v>78</v>
      </c>
      <c r="N9" t="s">
        <v>219</v>
      </c>
      <c r="O9" t="s">
        <v>74</v>
      </c>
      <c r="P9" t="s">
        <v>74</v>
      </c>
      <c r="Q9" t="s">
        <v>74</v>
      </c>
      <c r="R9" t="s">
        <v>74</v>
      </c>
      <c r="S9" t="s">
        <v>74</v>
      </c>
      <c r="T9" t="s">
        <v>74</v>
      </c>
      <c r="U9" t="s">
        <v>234</v>
      </c>
      <c r="V9" t="s">
        <v>74</v>
      </c>
      <c r="W9" t="s">
        <v>74</v>
      </c>
      <c r="X9" t="s">
        <v>74</v>
      </c>
      <c r="Y9" t="s">
        <v>74</v>
      </c>
      <c r="Z9" t="s">
        <v>74</v>
      </c>
      <c r="AA9" t="s">
        <v>235</v>
      </c>
      <c r="AB9" t="s">
        <v>74</v>
      </c>
      <c r="AC9" t="s">
        <v>74</v>
      </c>
      <c r="AD9" t="s">
        <v>74</v>
      </c>
      <c r="AE9" t="s">
        <v>74</v>
      </c>
      <c r="AF9" t="s">
        <v>74</v>
      </c>
      <c r="AG9">
        <v>257</v>
      </c>
      <c r="AH9">
        <v>680</v>
      </c>
      <c r="AI9">
        <v>711</v>
      </c>
      <c r="AJ9">
        <v>0</v>
      </c>
      <c r="AK9">
        <v>2</v>
      </c>
      <c r="AL9" t="s">
        <v>221</v>
      </c>
      <c r="AM9" t="s">
        <v>222</v>
      </c>
      <c r="AN9" t="s">
        <v>223</v>
      </c>
      <c r="AO9" t="s">
        <v>74</v>
      </c>
      <c r="AP9" t="s">
        <v>74</v>
      </c>
      <c r="AQ9" t="s">
        <v>236</v>
      </c>
      <c r="AR9" t="s">
        <v>74</v>
      </c>
      <c r="AS9" t="s">
        <v>74</v>
      </c>
      <c r="AT9" t="s">
        <v>74</v>
      </c>
      <c r="AU9">
        <v>2007</v>
      </c>
      <c r="AV9" t="s">
        <v>74</v>
      </c>
      <c r="AW9" t="s">
        <v>74</v>
      </c>
      <c r="AX9" t="s">
        <v>74</v>
      </c>
      <c r="AY9" t="s">
        <v>74</v>
      </c>
      <c r="AZ9" t="s">
        <v>74</v>
      </c>
      <c r="BA9" t="s">
        <v>74</v>
      </c>
      <c r="BB9">
        <v>337</v>
      </c>
      <c r="BC9">
        <v>383</v>
      </c>
      <c r="BD9" t="s">
        <v>74</v>
      </c>
      <c r="BE9" t="s">
        <v>74</v>
      </c>
      <c r="BF9" t="s">
        <v>74</v>
      </c>
      <c r="BG9" t="s">
        <v>74</v>
      </c>
      <c r="BH9" t="s">
        <v>74</v>
      </c>
      <c r="BI9">
        <v>47</v>
      </c>
      <c r="BJ9" t="s">
        <v>237</v>
      </c>
      <c r="BK9" t="s">
        <v>238</v>
      </c>
      <c r="BL9" t="s">
        <v>226</v>
      </c>
      <c r="BM9" t="s">
        <v>239</v>
      </c>
      <c r="BN9" t="s">
        <v>74</v>
      </c>
      <c r="BO9" t="s">
        <v>74</v>
      </c>
      <c r="BP9" t="s">
        <v>74</v>
      </c>
      <c r="BQ9" t="s">
        <v>74</v>
      </c>
      <c r="BR9" t="s">
        <v>100</v>
      </c>
      <c r="BS9" t="s">
        <v>240</v>
      </c>
      <c r="BT9" t="str">
        <f>HYPERLINK("https%3A%2F%2Fwww.webofscience.com%2Fwos%2Fwoscc%2Ffull-record%2FWOS:000538686200008","View Full Record in Web of Science")</f>
        <v>View Full Record in Web of Science</v>
      </c>
    </row>
    <row r="10" spans="1:72" x14ac:dyDescent="0.15">
      <c r="A10" t="s">
        <v>241</v>
      </c>
      <c r="B10" t="s">
        <v>242</v>
      </c>
      <c r="C10" t="s">
        <v>74</v>
      </c>
      <c r="D10" t="s">
        <v>243</v>
      </c>
      <c r="E10" t="s">
        <v>74</v>
      </c>
      <c r="F10" t="s">
        <v>244</v>
      </c>
      <c r="G10" t="s">
        <v>74</v>
      </c>
      <c r="H10" t="s">
        <v>74</v>
      </c>
      <c r="I10" t="s">
        <v>245</v>
      </c>
      <c r="J10" t="s">
        <v>246</v>
      </c>
      <c r="K10" t="s">
        <v>247</v>
      </c>
      <c r="L10" t="s">
        <v>74</v>
      </c>
      <c r="M10" t="s">
        <v>78</v>
      </c>
      <c r="N10" t="s">
        <v>248</v>
      </c>
      <c r="O10" t="s">
        <v>249</v>
      </c>
      <c r="P10" t="s">
        <v>250</v>
      </c>
      <c r="Q10" t="s">
        <v>251</v>
      </c>
      <c r="R10" t="s">
        <v>74</v>
      </c>
      <c r="S10" t="s">
        <v>252</v>
      </c>
      <c r="T10" t="s">
        <v>74</v>
      </c>
      <c r="U10" t="s">
        <v>253</v>
      </c>
      <c r="V10" t="s">
        <v>254</v>
      </c>
      <c r="W10" t="s">
        <v>255</v>
      </c>
      <c r="X10" t="s">
        <v>256</v>
      </c>
      <c r="Y10" t="s">
        <v>257</v>
      </c>
      <c r="Z10" t="s">
        <v>74</v>
      </c>
      <c r="AA10" t="s">
        <v>74</v>
      </c>
      <c r="AB10" t="s">
        <v>74</v>
      </c>
      <c r="AC10" t="s">
        <v>74</v>
      </c>
      <c r="AD10" t="s">
        <v>74</v>
      </c>
      <c r="AE10" t="s">
        <v>74</v>
      </c>
      <c r="AF10" t="s">
        <v>74</v>
      </c>
      <c r="AG10">
        <v>17</v>
      </c>
      <c r="AH10">
        <v>4</v>
      </c>
      <c r="AI10">
        <v>4</v>
      </c>
      <c r="AJ10">
        <v>0</v>
      </c>
      <c r="AK10">
        <v>0</v>
      </c>
      <c r="AL10" t="s">
        <v>258</v>
      </c>
      <c r="AM10" t="s">
        <v>259</v>
      </c>
      <c r="AN10" t="s">
        <v>260</v>
      </c>
      <c r="AO10" t="s">
        <v>261</v>
      </c>
      <c r="AP10" t="s">
        <v>262</v>
      </c>
      <c r="AQ10" t="s">
        <v>74</v>
      </c>
      <c r="AR10" t="s">
        <v>263</v>
      </c>
      <c r="AS10" t="s">
        <v>74</v>
      </c>
      <c r="AT10" t="s">
        <v>74</v>
      </c>
      <c r="AU10">
        <v>2007</v>
      </c>
      <c r="AV10">
        <v>81</v>
      </c>
      <c r="AW10" t="s">
        <v>74</v>
      </c>
      <c r="AX10" t="s">
        <v>74</v>
      </c>
      <c r="AY10" t="s">
        <v>74</v>
      </c>
      <c r="AZ10" t="s">
        <v>74</v>
      </c>
      <c r="BA10" t="s">
        <v>74</v>
      </c>
      <c r="BB10" t="s">
        <v>74</v>
      </c>
      <c r="BC10" t="s">
        <v>74</v>
      </c>
      <c r="BD10" t="s">
        <v>74</v>
      </c>
      <c r="BE10" t="s">
        <v>264</v>
      </c>
      <c r="BF10" t="str">
        <f>HYPERLINK("http://dx.doi.org/10.1088/1742-6596/81/1/012008","http://dx.doi.org/10.1088/1742-6596/81/1/012008")</f>
        <v>http://dx.doi.org/10.1088/1742-6596/81/1/012008</v>
      </c>
      <c r="BG10" t="s">
        <v>74</v>
      </c>
      <c r="BH10" t="s">
        <v>74</v>
      </c>
      <c r="BI10">
        <v>4</v>
      </c>
      <c r="BJ10" t="s">
        <v>265</v>
      </c>
      <c r="BK10" t="s">
        <v>266</v>
      </c>
      <c r="BL10" t="s">
        <v>267</v>
      </c>
      <c r="BM10" t="s">
        <v>268</v>
      </c>
      <c r="BN10" t="s">
        <v>74</v>
      </c>
      <c r="BO10" t="s">
        <v>269</v>
      </c>
      <c r="BP10" t="s">
        <v>74</v>
      </c>
      <c r="BQ10" t="s">
        <v>74</v>
      </c>
      <c r="BR10" t="s">
        <v>100</v>
      </c>
      <c r="BS10" t="s">
        <v>270</v>
      </c>
      <c r="BT10" t="str">
        <f>HYPERLINK("https%3A%2F%2Fwww.webofscience.com%2Fwos%2Fwoscc%2Ffull-record%2FWOS:000251917200008","View Full Record in Web of Science")</f>
        <v>View Full Record in Web of Science</v>
      </c>
    </row>
    <row r="11" spans="1:72" x14ac:dyDescent="0.15">
      <c r="A11" t="s">
        <v>241</v>
      </c>
      <c r="B11" t="s">
        <v>271</v>
      </c>
      <c r="C11" t="s">
        <v>74</v>
      </c>
      <c r="D11" t="s">
        <v>243</v>
      </c>
      <c r="E11" t="s">
        <v>74</v>
      </c>
      <c r="F11" t="s">
        <v>272</v>
      </c>
      <c r="G11" t="s">
        <v>74</v>
      </c>
      <c r="H11" t="s">
        <v>74</v>
      </c>
      <c r="I11" t="s">
        <v>273</v>
      </c>
      <c r="J11" t="s">
        <v>246</v>
      </c>
      <c r="K11" t="s">
        <v>247</v>
      </c>
      <c r="L11" t="s">
        <v>74</v>
      </c>
      <c r="M11" t="s">
        <v>78</v>
      </c>
      <c r="N11" t="s">
        <v>248</v>
      </c>
      <c r="O11" t="s">
        <v>249</v>
      </c>
      <c r="P11" t="s">
        <v>250</v>
      </c>
      <c r="Q11" t="s">
        <v>251</v>
      </c>
      <c r="R11" t="s">
        <v>74</v>
      </c>
      <c r="S11" t="s">
        <v>252</v>
      </c>
      <c r="T11" t="s">
        <v>74</v>
      </c>
      <c r="U11" t="s">
        <v>74</v>
      </c>
      <c r="V11" t="s">
        <v>274</v>
      </c>
      <c r="W11" t="s">
        <v>275</v>
      </c>
      <c r="X11" t="s">
        <v>276</v>
      </c>
      <c r="Y11" t="s">
        <v>277</v>
      </c>
      <c r="Z11" t="s">
        <v>278</v>
      </c>
      <c r="AA11" t="s">
        <v>279</v>
      </c>
      <c r="AB11" t="s">
        <v>74</v>
      </c>
      <c r="AC11" t="s">
        <v>74</v>
      </c>
      <c r="AD11" t="s">
        <v>74</v>
      </c>
      <c r="AE11" t="s">
        <v>74</v>
      </c>
      <c r="AF11" t="s">
        <v>74</v>
      </c>
      <c r="AG11">
        <v>3</v>
      </c>
      <c r="AH11">
        <v>0</v>
      </c>
      <c r="AI11">
        <v>0</v>
      </c>
      <c r="AJ11">
        <v>0</v>
      </c>
      <c r="AK11">
        <v>0</v>
      </c>
      <c r="AL11" t="s">
        <v>258</v>
      </c>
      <c r="AM11" t="s">
        <v>259</v>
      </c>
      <c r="AN11" t="s">
        <v>260</v>
      </c>
      <c r="AO11" t="s">
        <v>261</v>
      </c>
      <c r="AP11" t="s">
        <v>262</v>
      </c>
      <c r="AQ11" t="s">
        <v>74</v>
      </c>
      <c r="AR11" t="s">
        <v>263</v>
      </c>
      <c r="AS11" t="s">
        <v>74</v>
      </c>
      <c r="AT11" t="s">
        <v>74</v>
      </c>
      <c r="AU11">
        <v>2007</v>
      </c>
      <c r="AV11">
        <v>81</v>
      </c>
      <c r="AW11" t="s">
        <v>74</v>
      </c>
      <c r="AX11" t="s">
        <v>74</v>
      </c>
      <c r="AY11" t="s">
        <v>74</v>
      </c>
      <c r="AZ11" t="s">
        <v>74</v>
      </c>
      <c r="BA11" t="s">
        <v>74</v>
      </c>
      <c r="BB11" t="s">
        <v>74</v>
      </c>
      <c r="BC11" t="s">
        <v>74</v>
      </c>
      <c r="BD11" t="s">
        <v>74</v>
      </c>
      <c r="BE11" t="s">
        <v>280</v>
      </c>
      <c r="BF11" t="str">
        <f>HYPERLINK("http://dx.doi.org/10.1088/1742-6596/81/1/012016","http://dx.doi.org/10.1088/1742-6596/81/1/012016")</f>
        <v>http://dx.doi.org/10.1088/1742-6596/81/1/012016</v>
      </c>
      <c r="BG11" t="s">
        <v>74</v>
      </c>
      <c r="BH11" t="s">
        <v>74</v>
      </c>
      <c r="BI11">
        <v>6</v>
      </c>
      <c r="BJ11" t="s">
        <v>265</v>
      </c>
      <c r="BK11" t="s">
        <v>266</v>
      </c>
      <c r="BL11" t="s">
        <v>267</v>
      </c>
      <c r="BM11" t="s">
        <v>268</v>
      </c>
      <c r="BN11" t="s">
        <v>74</v>
      </c>
      <c r="BO11" t="s">
        <v>269</v>
      </c>
      <c r="BP11" t="s">
        <v>74</v>
      </c>
      <c r="BQ11" t="s">
        <v>74</v>
      </c>
      <c r="BR11" t="s">
        <v>100</v>
      </c>
      <c r="BS11" t="s">
        <v>281</v>
      </c>
      <c r="BT11" t="str">
        <f>HYPERLINK("https%3A%2F%2Fwww.webofscience.com%2Fwos%2Fwoscc%2Ffull-record%2FWOS:000251917200016","View Full Record in Web of Science")</f>
        <v>View Full Record in Web of Science</v>
      </c>
    </row>
    <row r="12" spans="1:72" x14ac:dyDescent="0.15">
      <c r="A12" t="s">
        <v>241</v>
      </c>
      <c r="B12" t="s">
        <v>282</v>
      </c>
      <c r="C12" t="s">
        <v>74</v>
      </c>
      <c r="D12" t="s">
        <v>243</v>
      </c>
      <c r="E12" t="s">
        <v>74</v>
      </c>
      <c r="F12" t="s">
        <v>283</v>
      </c>
      <c r="G12" t="s">
        <v>74</v>
      </c>
      <c r="H12" t="s">
        <v>74</v>
      </c>
      <c r="I12" t="s">
        <v>284</v>
      </c>
      <c r="J12" t="s">
        <v>246</v>
      </c>
      <c r="K12" t="s">
        <v>247</v>
      </c>
      <c r="L12" t="s">
        <v>74</v>
      </c>
      <c r="M12" t="s">
        <v>78</v>
      </c>
      <c r="N12" t="s">
        <v>248</v>
      </c>
      <c r="O12" t="s">
        <v>249</v>
      </c>
      <c r="P12" t="s">
        <v>250</v>
      </c>
      <c r="Q12" t="s">
        <v>251</v>
      </c>
      <c r="R12" t="s">
        <v>74</v>
      </c>
      <c r="S12" t="s">
        <v>252</v>
      </c>
      <c r="T12" t="s">
        <v>74</v>
      </c>
      <c r="U12" t="s">
        <v>74</v>
      </c>
      <c r="V12" t="s">
        <v>285</v>
      </c>
      <c r="W12" t="s">
        <v>286</v>
      </c>
      <c r="X12" t="s">
        <v>287</v>
      </c>
      <c r="Y12" t="s">
        <v>277</v>
      </c>
      <c r="Z12" t="s">
        <v>74</v>
      </c>
      <c r="AA12" t="s">
        <v>288</v>
      </c>
      <c r="AB12" t="s">
        <v>74</v>
      </c>
      <c r="AC12" t="s">
        <v>74</v>
      </c>
      <c r="AD12" t="s">
        <v>74</v>
      </c>
      <c r="AE12" t="s">
        <v>74</v>
      </c>
      <c r="AF12" t="s">
        <v>74</v>
      </c>
      <c r="AG12">
        <v>12</v>
      </c>
      <c r="AH12">
        <v>0</v>
      </c>
      <c r="AI12">
        <v>0</v>
      </c>
      <c r="AJ12">
        <v>0</v>
      </c>
      <c r="AK12">
        <v>0</v>
      </c>
      <c r="AL12" t="s">
        <v>258</v>
      </c>
      <c r="AM12" t="s">
        <v>259</v>
      </c>
      <c r="AN12" t="s">
        <v>260</v>
      </c>
      <c r="AO12" t="s">
        <v>261</v>
      </c>
      <c r="AP12" t="s">
        <v>262</v>
      </c>
      <c r="AQ12" t="s">
        <v>74</v>
      </c>
      <c r="AR12" t="s">
        <v>263</v>
      </c>
      <c r="AS12" t="s">
        <v>74</v>
      </c>
      <c r="AT12" t="s">
        <v>74</v>
      </c>
      <c r="AU12">
        <v>2007</v>
      </c>
      <c r="AV12">
        <v>81</v>
      </c>
      <c r="AW12" t="s">
        <v>74</v>
      </c>
      <c r="AX12" t="s">
        <v>74</v>
      </c>
      <c r="AY12" t="s">
        <v>74</v>
      </c>
      <c r="AZ12" t="s">
        <v>74</v>
      </c>
      <c r="BA12" t="s">
        <v>74</v>
      </c>
      <c r="BB12" t="s">
        <v>74</v>
      </c>
      <c r="BC12" t="s">
        <v>74</v>
      </c>
      <c r="BD12" t="s">
        <v>74</v>
      </c>
      <c r="BE12" t="s">
        <v>289</v>
      </c>
      <c r="BF12" t="str">
        <f>HYPERLINK("http://dx.doi.org/10.1088/1742-6596/81/1/012010","http://dx.doi.org/10.1088/1742-6596/81/1/012010")</f>
        <v>http://dx.doi.org/10.1088/1742-6596/81/1/012010</v>
      </c>
      <c r="BG12" t="s">
        <v>74</v>
      </c>
      <c r="BH12" t="s">
        <v>74</v>
      </c>
      <c r="BI12">
        <v>6</v>
      </c>
      <c r="BJ12" t="s">
        <v>265</v>
      </c>
      <c r="BK12" t="s">
        <v>266</v>
      </c>
      <c r="BL12" t="s">
        <v>267</v>
      </c>
      <c r="BM12" t="s">
        <v>268</v>
      </c>
      <c r="BN12" t="s">
        <v>74</v>
      </c>
      <c r="BO12" t="s">
        <v>269</v>
      </c>
      <c r="BP12" t="s">
        <v>74</v>
      </c>
      <c r="BQ12" t="s">
        <v>74</v>
      </c>
      <c r="BR12" t="s">
        <v>100</v>
      </c>
      <c r="BS12" t="s">
        <v>290</v>
      </c>
      <c r="BT12" t="str">
        <f>HYPERLINK("https%3A%2F%2Fwww.webofscience.com%2Fwos%2Fwoscc%2Ffull-record%2FWOS:000251917200010","View Full Record in Web of Science")</f>
        <v>View Full Record in Web of Science</v>
      </c>
    </row>
    <row r="13" spans="1:72" x14ac:dyDescent="0.15">
      <c r="A13" t="s">
        <v>241</v>
      </c>
      <c r="B13" t="s">
        <v>291</v>
      </c>
      <c r="C13" t="s">
        <v>74</v>
      </c>
      <c r="D13" t="s">
        <v>243</v>
      </c>
      <c r="E13" t="s">
        <v>74</v>
      </c>
      <c r="F13" t="s">
        <v>292</v>
      </c>
      <c r="G13" t="s">
        <v>74</v>
      </c>
      <c r="H13" t="s">
        <v>293</v>
      </c>
      <c r="I13" t="s">
        <v>294</v>
      </c>
      <c r="J13" t="s">
        <v>246</v>
      </c>
      <c r="K13" t="s">
        <v>247</v>
      </c>
      <c r="L13" t="s">
        <v>74</v>
      </c>
      <c r="M13" t="s">
        <v>78</v>
      </c>
      <c r="N13" t="s">
        <v>248</v>
      </c>
      <c r="O13" t="s">
        <v>249</v>
      </c>
      <c r="P13" t="s">
        <v>250</v>
      </c>
      <c r="Q13" t="s">
        <v>251</v>
      </c>
      <c r="R13" t="s">
        <v>74</v>
      </c>
      <c r="S13" t="s">
        <v>252</v>
      </c>
      <c r="T13" t="s">
        <v>74</v>
      </c>
      <c r="U13" t="s">
        <v>74</v>
      </c>
      <c r="V13" t="s">
        <v>295</v>
      </c>
      <c r="W13" t="s">
        <v>296</v>
      </c>
      <c r="X13" t="s">
        <v>297</v>
      </c>
      <c r="Y13" t="s">
        <v>298</v>
      </c>
      <c r="Z13" t="s">
        <v>299</v>
      </c>
      <c r="AA13" t="s">
        <v>74</v>
      </c>
      <c r="AB13" t="s">
        <v>74</v>
      </c>
      <c r="AC13" t="s">
        <v>74</v>
      </c>
      <c r="AD13" t="s">
        <v>74</v>
      </c>
      <c r="AE13" t="s">
        <v>74</v>
      </c>
      <c r="AF13" t="s">
        <v>74</v>
      </c>
      <c r="AG13">
        <v>3</v>
      </c>
      <c r="AH13">
        <v>7</v>
      </c>
      <c r="AI13">
        <v>7</v>
      </c>
      <c r="AJ13">
        <v>0</v>
      </c>
      <c r="AK13">
        <v>0</v>
      </c>
      <c r="AL13" t="s">
        <v>258</v>
      </c>
      <c r="AM13" t="s">
        <v>259</v>
      </c>
      <c r="AN13" t="s">
        <v>260</v>
      </c>
      <c r="AO13" t="s">
        <v>261</v>
      </c>
      <c r="AP13" t="s">
        <v>262</v>
      </c>
      <c r="AQ13" t="s">
        <v>74</v>
      </c>
      <c r="AR13" t="s">
        <v>263</v>
      </c>
      <c r="AS13" t="s">
        <v>74</v>
      </c>
      <c r="AT13" t="s">
        <v>74</v>
      </c>
      <c r="AU13">
        <v>2007</v>
      </c>
      <c r="AV13">
        <v>81</v>
      </c>
      <c r="AW13" t="s">
        <v>74</v>
      </c>
      <c r="AX13" t="s">
        <v>74</v>
      </c>
      <c r="AY13" t="s">
        <v>74</v>
      </c>
      <c r="AZ13" t="s">
        <v>74</v>
      </c>
      <c r="BA13" t="s">
        <v>74</v>
      </c>
      <c r="BB13" t="s">
        <v>74</v>
      </c>
      <c r="BC13" t="s">
        <v>74</v>
      </c>
      <c r="BD13" t="s">
        <v>74</v>
      </c>
      <c r="BE13" t="s">
        <v>300</v>
      </c>
      <c r="BF13" t="str">
        <f>HYPERLINK("http://dx.doi.org/10.1088/1742-6596/81/1/012022","http://dx.doi.org/10.1088/1742-6596/81/1/012022")</f>
        <v>http://dx.doi.org/10.1088/1742-6596/81/1/012022</v>
      </c>
      <c r="BG13" t="s">
        <v>74</v>
      </c>
      <c r="BH13" t="s">
        <v>74</v>
      </c>
      <c r="BI13">
        <v>6</v>
      </c>
      <c r="BJ13" t="s">
        <v>265</v>
      </c>
      <c r="BK13" t="s">
        <v>266</v>
      </c>
      <c r="BL13" t="s">
        <v>267</v>
      </c>
      <c r="BM13" t="s">
        <v>268</v>
      </c>
      <c r="BN13" t="s">
        <v>74</v>
      </c>
      <c r="BO13" t="s">
        <v>269</v>
      </c>
      <c r="BP13" t="s">
        <v>74</v>
      </c>
      <c r="BQ13" t="s">
        <v>74</v>
      </c>
      <c r="BR13" t="s">
        <v>100</v>
      </c>
      <c r="BS13" t="s">
        <v>301</v>
      </c>
      <c r="BT13" t="str">
        <f>HYPERLINK("https%3A%2F%2Fwww.webofscience.com%2Fwos%2Fwoscc%2Ffull-record%2FWOS:000251917200022","View Full Record in Web of Science")</f>
        <v>View Full Record in Web of Science</v>
      </c>
    </row>
    <row r="14" spans="1:72" x14ac:dyDescent="0.15">
      <c r="A14" t="s">
        <v>241</v>
      </c>
      <c r="B14" t="s">
        <v>302</v>
      </c>
      <c r="C14" t="s">
        <v>74</v>
      </c>
      <c r="D14" t="s">
        <v>243</v>
      </c>
      <c r="E14" t="s">
        <v>74</v>
      </c>
      <c r="F14" t="s">
        <v>303</v>
      </c>
      <c r="G14" t="s">
        <v>74</v>
      </c>
      <c r="H14" t="s">
        <v>304</v>
      </c>
      <c r="I14" t="s">
        <v>305</v>
      </c>
      <c r="J14" t="s">
        <v>246</v>
      </c>
      <c r="K14" t="s">
        <v>247</v>
      </c>
      <c r="L14" t="s">
        <v>74</v>
      </c>
      <c r="M14" t="s">
        <v>78</v>
      </c>
      <c r="N14" t="s">
        <v>248</v>
      </c>
      <c r="O14" t="s">
        <v>249</v>
      </c>
      <c r="P14" t="s">
        <v>250</v>
      </c>
      <c r="Q14" t="s">
        <v>251</v>
      </c>
      <c r="R14" t="s">
        <v>74</v>
      </c>
      <c r="S14" t="s">
        <v>252</v>
      </c>
      <c r="T14" t="s">
        <v>74</v>
      </c>
      <c r="U14" t="s">
        <v>306</v>
      </c>
      <c r="V14" t="s">
        <v>307</v>
      </c>
      <c r="W14" t="s">
        <v>308</v>
      </c>
      <c r="X14" t="s">
        <v>309</v>
      </c>
      <c r="Y14" t="s">
        <v>310</v>
      </c>
      <c r="Z14" t="s">
        <v>311</v>
      </c>
      <c r="AA14" t="s">
        <v>74</v>
      </c>
      <c r="AB14" t="s">
        <v>74</v>
      </c>
      <c r="AC14" t="s">
        <v>74</v>
      </c>
      <c r="AD14" t="s">
        <v>74</v>
      </c>
      <c r="AE14" t="s">
        <v>74</v>
      </c>
      <c r="AF14" t="s">
        <v>74</v>
      </c>
      <c r="AG14">
        <v>17</v>
      </c>
      <c r="AH14">
        <v>2</v>
      </c>
      <c r="AI14">
        <v>2</v>
      </c>
      <c r="AJ14">
        <v>0</v>
      </c>
      <c r="AK14">
        <v>0</v>
      </c>
      <c r="AL14" t="s">
        <v>258</v>
      </c>
      <c r="AM14" t="s">
        <v>259</v>
      </c>
      <c r="AN14" t="s">
        <v>260</v>
      </c>
      <c r="AO14" t="s">
        <v>261</v>
      </c>
      <c r="AP14" t="s">
        <v>262</v>
      </c>
      <c r="AQ14" t="s">
        <v>74</v>
      </c>
      <c r="AR14" t="s">
        <v>263</v>
      </c>
      <c r="AS14" t="s">
        <v>74</v>
      </c>
      <c r="AT14" t="s">
        <v>74</v>
      </c>
      <c r="AU14">
        <v>2007</v>
      </c>
      <c r="AV14">
        <v>81</v>
      </c>
      <c r="AW14" t="s">
        <v>74</v>
      </c>
      <c r="AX14" t="s">
        <v>74</v>
      </c>
      <c r="AY14" t="s">
        <v>74</v>
      </c>
      <c r="AZ14" t="s">
        <v>74</v>
      </c>
      <c r="BA14" t="s">
        <v>74</v>
      </c>
      <c r="BB14" t="s">
        <v>74</v>
      </c>
      <c r="BC14" t="s">
        <v>74</v>
      </c>
      <c r="BD14" t="s">
        <v>74</v>
      </c>
      <c r="BE14" t="s">
        <v>312</v>
      </c>
      <c r="BF14" t="str">
        <f>HYPERLINK("http://dx.doi.org/10.1088/1742-6596/81/1/012009","http://dx.doi.org/10.1088/1742-6596/81/1/012009")</f>
        <v>http://dx.doi.org/10.1088/1742-6596/81/1/012009</v>
      </c>
      <c r="BG14" t="s">
        <v>74</v>
      </c>
      <c r="BH14" t="s">
        <v>74</v>
      </c>
      <c r="BI14">
        <v>6</v>
      </c>
      <c r="BJ14" t="s">
        <v>265</v>
      </c>
      <c r="BK14" t="s">
        <v>266</v>
      </c>
      <c r="BL14" t="s">
        <v>267</v>
      </c>
      <c r="BM14" t="s">
        <v>268</v>
      </c>
      <c r="BN14" t="s">
        <v>74</v>
      </c>
      <c r="BO14" t="s">
        <v>269</v>
      </c>
      <c r="BP14" t="s">
        <v>74</v>
      </c>
      <c r="BQ14" t="s">
        <v>74</v>
      </c>
      <c r="BR14" t="s">
        <v>100</v>
      </c>
      <c r="BS14" t="s">
        <v>313</v>
      </c>
      <c r="BT14" t="str">
        <f>HYPERLINK("https%3A%2F%2Fwww.webofscience.com%2Fwos%2Fwoscc%2Ffull-record%2FWOS:000251917200009","View Full Record in Web of Science")</f>
        <v>View Full Record in Web of Science</v>
      </c>
    </row>
    <row r="15" spans="1:72" x14ac:dyDescent="0.15">
      <c r="A15" t="s">
        <v>72</v>
      </c>
      <c r="B15" t="s">
        <v>314</v>
      </c>
      <c r="C15" t="s">
        <v>74</v>
      </c>
      <c r="D15" t="s">
        <v>74</v>
      </c>
      <c r="E15" t="s">
        <v>74</v>
      </c>
      <c r="F15" t="s">
        <v>315</v>
      </c>
      <c r="G15" t="s">
        <v>74</v>
      </c>
      <c r="H15" t="s">
        <v>74</v>
      </c>
      <c r="I15" t="s">
        <v>316</v>
      </c>
      <c r="J15" t="s">
        <v>317</v>
      </c>
      <c r="K15" t="s">
        <v>74</v>
      </c>
      <c r="L15" t="s">
        <v>74</v>
      </c>
      <c r="M15" t="s">
        <v>78</v>
      </c>
      <c r="N15" t="s">
        <v>79</v>
      </c>
      <c r="O15" t="s">
        <v>74</v>
      </c>
      <c r="P15" t="s">
        <v>74</v>
      </c>
      <c r="Q15" t="s">
        <v>74</v>
      </c>
      <c r="R15" t="s">
        <v>74</v>
      </c>
      <c r="S15" t="s">
        <v>74</v>
      </c>
      <c r="T15" t="s">
        <v>318</v>
      </c>
      <c r="U15" t="s">
        <v>319</v>
      </c>
      <c r="V15" t="s">
        <v>320</v>
      </c>
      <c r="W15" t="s">
        <v>321</v>
      </c>
      <c r="X15" t="s">
        <v>322</v>
      </c>
      <c r="Y15" t="s">
        <v>323</v>
      </c>
      <c r="Z15" t="s">
        <v>324</v>
      </c>
      <c r="AA15" t="s">
        <v>325</v>
      </c>
      <c r="AB15" t="s">
        <v>326</v>
      </c>
      <c r="AC15" t="s">
        <v>74</v>
      </c>
      <c r="AD15" t="s">
        <v>74</v>
      </c>
      <c r="AE15" t="s">
        <v>74</v>
      </c>
      <c r="AF15" t="s">
        <v>74</v>
      </c>
      <c r="AG15">
        <v>17</v>
      </c>
      <c r="AH15">
        <v>3</v>
      </c>
      <c r="AI15">
        <v>3</v>
      </c>
      <c r="AJ15">
        <v>0</v>
      </c>
      <c r="AK15">
        <v>4</v>
      </c>
      <c r="AL15" t="s">
        <v>327</v>
      </c>
      <c r="AM15" t="s">
        <v>328</v>
      </c>
      <c r="AN15" t="s">
        <v>329</v>
      </c>
      <c r="AO15" t="s">
        <v>330</v>
      </c>
      <c r="AP15" t="s">
        <v>331</v>
      </c>
      <c r="AQ15" t="s">
        <v>74</v>
      </c>
      <c r="AR15" t="s">
        <v>317</v>
      </c>
      <c r="AS15" t="s">
        <v>332</v>
      </c>
      <c r="AT15" t="s">
        <v>74</v>
      </c>
      <c r="AU15">
        <v>2007</v>
      </c>
      <c r="AV15" t="s">
        <v>74</v>
      </c>
      <c r="AW15" t="s">
        <v>74</v>
      </c>
      <c r="AX15">
        <v>9</v>
      </c>
      <c r="AY15" t="s">
        <v>74</v>
      </c>
      <c r="AZ15" t="s">
        <v>74</v>
      </c>
      <c r="BA15" t="s">
        <v>74</v>
      </c>
      <c r="BB15">
        <v>121</v>
      </c>
      <c r="BC15">
        <v>128</v>
      </c>
      <c r="BD15" t="s">
        <v>74</v>
      </c>
      <c r="BE15" t="s">
        <v>333</v>
      </c>
      <c r="BF15" t="str">
        <f>HYPERLINK("http://dx.doi.org/10.3998/ark.5550190.0008.914","http://dx.doi.org/10.3998/ark.5550190.0008.914")</f>
        <v>http://dx.doi.org/10.3998/ark.5550190.0008.914</v>
      </c>
      <c r="BG15" t="s">
        <v>74</v>
      </c>
      <c r="BH15" t="s">
        <v>74</v>
      </c>
      <c r="BI15">
        <v>8</v>
      </c>
      <c r="BJ15" t="s">
        <v>334</v>
      </c>
      <c r="BK15" t="s">
        <v>97</v>
      </c>
      <c r="BL15" t="s">
        <v>335</v>
      </c>
      <c r="BM15" t="s">
        <v>336</v>
      </c>
      <c r="BN15" t="s">
        <v>74</v>
      </c>
      <c r="BO15" t="s">
        <v>337</v>
      </c>
      <c r="BP15" t="s">
        <v>74</v>
      </c>
      <c r="BQ15" t="s">
        <v>74</v>
      </c>
      <c r="BR15" t="s">
        <v>100</v>
      </c>
      <c r="BS15" t="s">
        <v>338</v>
      </c>
      <c r="BT15" t="str">
        <f>HYPERLINK("https%3A%2F%2Fwww.webofscience.com%2Fwos%2Fwoscc%2Ffull-record%2FWOS:000249061200014","View Full Record in Web of Science")</f>
        <v>View Full Record in Web of Science</v>
      </c>
    </row>
    <row r="16" spans="1:72" x14ac:dyDescent="0.15">
      <c r="A16" t="s">
        <v>72</v>
      </c>
      <c r="B16" t="s">
        <v>339</v>
      </c>
      <c r="C16" t="s">
        <v>74</v>
      </c>
      <c r="D16" t="s">
        <v>74</v>
      </c>
      <c r="E16" t="s">
        <v>74</v>
      </c>
      <c r="F16" t="s">
        <v>340</v>
      </c>
      <c r="G16" t="s">
        <v>74</v>
      </c>
      <c r="H16" t="s">
        <v>74</v>
      </c>
      <c r="I16" t="s">
        <v>341</v>
      </c>
      <c r="J16" t="s">
        <v>342</v>
      </c>
      <c r="K16" t="s">
        <v>74</v>
      </c>
      <c r="L16" t="s">
        <v>74</v>
      </c>
      <c r="M16" t="s">
        <v>78</v>
      </c>
      <c r="N16" t="s">
        <v>79</v>
      </c>
      <c r="O16" t="s">
        <v>74</v>
      </c>
      <c r="P16" t="s">
        <v>74</v>
      </c>
      <c r="Q16" t="s">
        <v>74</v>
      </c>
      <c r="R16" t="s">
        <v>74</v>
      </c>
      <c r="S16" t="s">
        <v>74</v>
      </c>
      <c r="T16" t="s">
        <v>74</v>
      </c>
      <c r="U16" t="s">
        <v>343</v>
      </c>
      <c r="V16" t="s">
        <v>344</v>
      </c>
      <c r="W16" t="s">
        <v>345</v>
      </c>
      <c r="X16" t="s">
        <v>346</v>
      </c>
      <c r="Y16" t="s">
        <v>347</v>
      </c>
      <c r="Z16" t="s">
        <v>348</v>
      </c>
      <c r="AA16" t="s">
        <v>349</v>
      </c>
      <c r="AB16" t="s">
        <v>350</v>
      </c>
      <c r="AC16" t="s">
        <v>74</v>
      </c>
      <c r="AD16" t="s">
        <v>74</v>
      </c>
      <c r="AE16" t="s">
        <v>74</v>
      </c>
      <c r="AF16" t="s">
        <v>74</v>
      </c>
      <c r="AG16">
        <v>69</v>
      </c>
      <c r="AH16">
        <v>27</v>
      </c>
      <c r="AI16">
        <v>31</v>
      </c>
      <c r="AJ16">
        <v>0</v>
      </c>
      <c r="AK16">
        <v>7</v>
      </c>
      <c r="AL16" t="s">
        <v>351</v>
      </c>
      <c r="AM16" t="s">
        <v>352</v>
      </c>
      <c r="AN16" t="s">
        <v>353</v>
      </c>
      <c r="AO16" t="s">
        <v>354</v>
      </c>
      <c r="AP16" t="s">
        <v>355</v>
      </c>
      <c r="AQ16" t="s">
        <v>74</v>
      </c>
      <c r="AR16" t="s">
        <v>356</v>
      </c>
      <c r="AS16" t="s">
        <v>357</v>
      </c>
      <c r="AT16" t="s">
        <v>74</v>
      </c>
      <c r="AU16">
        <v>2007</v>
      </c>
      <c r="AV16">
        <v>7</v>
      </c>
      <c r="AW16">
        <v>7</v>
      </c>
      <c r="AX16" t="s">
        <v>74</v>
      </c>
      <c r="AY16" t="s">
        <v>74</v>
      </c>
      <c r="AZ16" t="s">
        <v>74</v>
      </c>
      <c r="BA16" t="s">
        <v>74</v>
      </c>
      <c r="BB16">
        <v>1755</v>
      </c>
      <c r="BC16">
        <v>1772</v>
      </c>
      <c r="BD16" t="s">
        <v>74</v>
      </c>
      <c r="BE16" t="s">
        <v>358</v>
      </c>
      <c r="BF16" t="str">
        <f>HYPERLINK("http://dx.doi.org/10.5194/acp-7-1755-2007","http://dx.doi.org/10.5194/acp-7-1755-2007")</f>
        <v>http://dx.doi.org/10.5194/acp-7-1755-2007</v>
      </c>
      <c r="BG16" t="s">
        <v>74</v>
      </c>
      <c r="BH16" t="s">
        <v>74</v>
      </c>
      <c r="BI16">
        <v>18</v>
      </c>
      <c r="BJ16" t="s">
        <v>359</v>
      </c>
      <c r="BK16" t="s">
        <v>97</v>
      </c>
      <c r="BL16" t="s">
        <v>360</v>
      </c>
      <c r="BM16" t="s">
        <v>361</v>
      </c>
      <c r="BN16" t="s">
        <v>74</v>
      </c>
      <c r="BO16" t="s">
        <v>337</v>
      </c>
      <c r="BP16" t="s">
        <v>74</v>
      </c>
      <c r="BQ16" t="s">
        <v>74</v>
      </c>
      <c r="BR16" t="s">
        <v>100</v>
      </c>
      <c r="BS16" t="s">
        <v>362</v>
      </c>
      <c r="BT16" t="str">
        <f>HYPERLINK("https%3A%2F%2Fwww.webofscience.com%2Fwos%2Fwoscc%2Ffull-record%2FWOS:000245747800005","View Full Record in Web of Science")</f>
        <v>View Full Record in Web of Science</v>
      </c>
    </row>
    <row r="17" spans="1:72" x14ac:dyDescent="0.15">
      <c r="A17" t="s">
        <v>72</v>
      </c>
      <c r="B17" t="s">
        <v>363</v>
      </c>
      <c r="C17" t="s">
        <v>74</v>
      </c>
      <c r="D17" t="s">
        <v>74</v>
      </c>
      <c r="E17" t="s">
        <v>74</v>
      </c>
      <c r="F17" t="s">
        <v>364</v>
      </c>
      <c r="G17" t="s">
        <v>74</v>
      </c>
      <c r="H17" t="s">
        <v>74</v>
      </c>
      <c r="I17" t="s">
        <v>365</v>
      </c>
      <c r="J17" t="s">
        <v>342</v>
      </c>
      <c r="K17" t="s">
        <v>74</v>
      </c>
      <c r="L17" t="s">
        <v>74</v>
      </c>
      <c r="M17" t="s">
        <v>78</v>
      </c>
      <c r="N17" t="s">
        <v>366</v>
      </c>
      <c r="O17" t="s">
        <v>74</v>
      </c>
      <c r="P17" t="s">
        <v>74</v>
      </c>
      <c r="Q17" t="s">
        <v>74</v>
      </c>
      <c r="R17" t="s">
        <v>74</v>
      </c>
      <c r="S17" t="s">
        <v>74</v>
      </c>
      <c r="T17" t="s">
        <v>74</v>
      </c>
      <c r="U17" t="s">
        <v>367</v>
      </c>
      <c r="V17" t="s">
        <v>368</v>
      </c>
      <c r="W17" t="s">
        <v>369</v>
      </c>
      <c r="X17" t="s">
        <v>370</v>
      </c>
      <c r="Y17" t="s">
        <v>371</v>
      </c>
      <c r="Z17" t="s">
        <v>372</v>
      </c>
      <c r="AA17" t="s">
        <v>373</v>
      </c>
      <c r="AB17" t="s">
        <v>374</v>
      </c>
      <c r="AC17" t="s">
        <v>74</v>
      </c>
      <c r="AD17" t="s">
        <v>74</v>
      </c>
      <c r="AE17" t="s">
        <v>74</v>
      </c>
      <c r="AF17" t="s">
        <v>74</v>
      </c>
      <c r="AG17">
        <v>152</v>
      </c>
      <c r="AH17">
        <v>167</v>
      </c>
      <c r="AI17">
        <v>199</v>
      </c>
      <c r="AJ17">
        <v>5</v>
      </c>
      <c r="AK17">
        <v>84</v>
      </c>
      <c r="AL17" t="s">
        <v>351</v>
      </c>
      <c r="AM17" t="s">
        <v>352</v>
      </c>
      <c r="AN17" t="s">
        <v>353</v>
      </c>
      <c r="AO17" t="s">
        <v>354</v>
      </c>
      <c r="AP17" t="s">
        <v>355</v>
      </c>
      <c r="AQ17" t="s">
        <v>74</v>
      </c>
      <c r="AR17" t="s">
        <v>356</v>
      </c>
      <c r="AS17" t="s">
        <v>357</v>
      </c>
      <c r="AT17" t="s">
        <v>74</v>
      </c>
      <c r="AU17">
        <v>2007</v>
      </c>
      <c r="AV17">
        <v>7</v>
      </c>
      <c r="AW17">
        <v>8</v>
      </c>
      <c r="AX17" t="s">
        <v>74</v>
      </c>
      <c r="AY17" t="s">
        <v>74</v>
      </c>
      <c r="AZ17" t="s">
        <v>74</v>
      </c>
      <c r="BA17" t="s">
        <v>74</v>
      </c>
      <c r="BB17">
        <v>1925</v>
      </c>
      <c r="BC17">
        <v>1945</v>
      </c>
      <c r="BD17" t="s">
        <v>74</v>
      </c>
      <c r="BE17" t="s">
        <v>375</v>
      </c>
      <c r="BF17" t="str">
        <f>HYPERLINK("http://dx.doi.org/10.5194/acp-7-1925-2007","http://dx.doi.org/10.5194/acp-7-1925-2007")</f>
        <v>http://dx.doi.org/10.5194/acp-7-1925-2007</v>
      </c>
      <c r="BG17" t="s">
        <v>74</v>
      </c>
      <c r="BH17" t="s">
        <v>74</v>
      </c>
      <c r="BI17">
        <v>21</v>
      </c>
      <c r="BJ17" t="s">
        <v>359</v>
      </c>
      <c r="BK17" t="s">
        <v>97</v>
      </c>
      <c r="BL17" t="s">
        <v>360</v>
      </c>
      <c r="BM17" t="s">
        <v>376</v>
      </c>
      <c r="BN17" t="s">
        <v>74</v>
      </c>
      <c r="BO17" t="s">
        <v>377</v>
      </c>
      <c r="BP17" t="s">
        <v>74</v>
      </c>
      <c r="BQ17" t="s">
        <v>74</v>
      </c>
      <c r="BR17" t="s">
        <v>100</v>
      </c>
      <c r="BS17" t="s">
        <v>378</v>
      </c>
      <c r="BT17" t="str">
        <f>HYPERLINK("https%3A%2F%2Fwww.webofscience.com%2Fwos%2Fwoscc%2Ffull-record%2FWOS:000246455500003","View Full Record in Web of Science")</f>
        <v>View Full Record in Web of Science</v>
      </c>
    </row>
    <row r="18" spans="1:72" x14ac:dyDescent="0.15">
      <c r="A18" t="s">
        <v>72</v>
      </c>
      <c r="B18" t="s">
        <v>379</v>
      </c>
      <c r="C18" t="s">
        <v>74</v>
      </c>
      <c r="D18" t="s">
        <v>74</v>
      </c>
      <c r="E18" t="s">
        <v>74</v>
      </c>
      <c r="F18" t="s">
        <v>380</v>
      </c>
      <c r="G18" t="s">
        <v>74</v>
      </c>
      <c r="H18" t="s">
        <v>74</v>
      </c>
      <c r="I18" t="s">
        <v>381</v>
      </c>
      <c r="J18" t="s">
        <v>342</v>
      </c>
      <c r="K18" t="s">
        <v>74</v>
      </c>
      <c r="L18" t="s">
        <v>74</v>
      </c>
      <c r="M18" t="s">
        <v>78</v>
      </c>
      <c r="N18" t="s">
        <v>366</v>
      </c>
      <c r="O18" t="s">
        <v>74</v>
      </c>
      <c r="P18" t="s">
        <v>74</v>
      </c>
      <c r="Q18" t="s">
        <v>74</v>
      </c>
      <c r="R18" t="s">
        <v>74</v>
      </c>
      <c r="S18" t="s">
        <v>74</v>
      </c>
      <c r="T18" t="s">
        <v>74</v>
      </c>
      <c r="U18" t="s">
        <v>382</v>
      </c>
      <c r="V18" t="s">
        <v>383</v>
      </c>
      <c r="W18" t="s">
        <v>384</v>
      </c>
      <c r="X18" t="s">
        <v>385</v>
      </c>
      <c r="Y18" t="s">
        <v>386</v>
      </c>
      <c r="Z18" t="s">
        <v>387</v>
      </c>
      <c r="AA18" t="s">
        <v>388</v>
      </c>
      <c r="AB18" t="s">
        <v>389</v>
      </c>
      <c r="AC18" t="s">
        <v>74</v>
      </c>
      <c r="AD18" t="s">
        <v>74</v>
      </c>
      <c r="AE18" t="s">
        <v>74</v>
      </c>
      <c r="AF18" t="s">
        <v>74</v>
      </c>
      <c r="AG18">
        <v>142</v>
      </c>
      <c r="AH18">
        <v>163</v>
      </c>
      <c r="AI18">
        <v>193</v>
      </c>
      <c r="AJ18">
        <v>2</v>
      </c>
      <c r="AK18">
        <v>83</v>
      </c>
      <c r="AL18" t="s">
        <v>351</v>
      </c>
      <c r="AM18" t="s">
        <v>352</v>
      </c>
      <c r="AN18" t="s">
        <v>353</v>
      </c>
      <c r="AO18" t="s">
        <v>354</v>
      </c>
      <c r="AP18" t="s">
        <v>355</v>
      </c>
      <c r="AQ18" t="s">
        <v>74</v>
      </c>
      <c r="AR18" t="s">
        <v>356</v>
      </c>
      <c r="AS18" t="s">
        <v>357</v>
      </c>
      <c r="AT18" t="s">
        <v>74</v>
      </c>
      <c r="AU18">
        <v>2007</v>
      </c>
      <c r="AV18">
        <v>7</v>
      </c>
      <c r="AW18">
        <v>9</v>
      </c>
      <c r="AX18" t="s">
        <v>74</v>
      </c>
      <c r="AY18" t="s">
        <v>74</v>
      </c>
      <c r="AZ18" t="s">
        <v>74</v>
      </c>
      <c r="BA18" t="s">
        <v>74</v>
      </c>
      <c r="BB18">
        <v>2287</v>
      </c>
      <c r="BC18">
        <v>2312</v>
      </c>
      <c r="BD18" t="s">
        <v>74</v>
      </c>
      <c r="BE18" t="s">
        <v>390</v>
      </c>
      <c r="BF18" t="str">
        <f>HYPERLINK("http://dx.doi.org/10.5194/acp-7-2287-2007","http://dx.doi.org/10.5194/acp-7-2287-2007")</f>
        <v>http://dx.doi.org/10.5194/acp-7-2287-2007</v>
      </c>
      <c r="BG18" t="s">
        <v>74</v>
      </c>
      <c r="BH18" t="s">
        <v>74</v>
      </c>
      <c r="BI18">
        <v>26</v>
      </c>
      <c r="BJ18" t="s">
        <v>359</v>
      </c>
      <c r="BK18" t="s">
        <v>97</v>
      </c>
      <c r="BL18" t="s">
        <v>360</v>
      </c>
      <c r="BM18" t="s">
        <v>391</v>
      </c>
      <c r="BN18" t="s">
        <v>74</v>
      </c>
      <c r="BO18" t="s">
        <v>392</v>
      </c>
      <c r="BP18" t="s">
        <v>74</v>
      </c>
      <c r="BQ18" t="s">
        <v>74</v>
      </c>
      <c r="BR18" t="s">
        <v>100</v>
      </c>
      <c r="BS18" t="s">
        <v>393</v>
      </c>
      <c r="BT18" t="str">
        <f>HYPERLINK("https%3A%2F%2Fwww.webofscience.com%2Fwos%2Fwoscc%2Ffull-record%2FWOS:000246456100011","View Full Record in Web of Science")</f>
        <v>View Full Record in Web of Science</v>
      </c>
    </row>
    <row r="19" spans="1:72" x14ac:dyDescent="0.15">
      <c r="A19" t="s">
        <v>72</v>
      </c>
      <c r="B19" t="s">
        <v>394</v>
      </c>
      <c r="C19" t="s">
        <v>74</v>
      </c>
      <c r="D19" t="s">
        <v>74</v>
      </c>
      <c r="E19" t="s">
        <v>74</v>
      </c>
      <c r="F19" t="s">
        <v>395</v>
      </c>
      <c r="G19" t="s">
        <v>74</v>
      </c>
      <c r="H19" t="s">
        <v>74</v>
      </c>
      <c r="I19" t="s">
        <v>396</v>
      </c>
      <c r="J19" t="s">
        <v>342</v>
      </c>
      <c r="K19" t="s">
        <v>74</v>
      </c>
      <c r="L19" t="s">
        <v>74</v>
      </c>
      <c r="M19" t="s">
        <v>78</v>
      </c>
      <c r="N19" t="s">
        <v>79</v>
      </c>
      <c r="O19" t="s">
        <v>74</v>
      </c>
      <c r="P19" t="s">
        <v>74</v>
      </c>
      <c r="Q19" t="s">
        <v>74</v>
      </c>
      <c r="R19" t="s">
        <v>74</v>
      </c>
      <c r="S19" t="s">
        <v>74</v>
      </c>
      <c r="T19" t="s">
        <v>74</v>
      </c>
      <c r="U19" t="s">
        <v>397</v>
      </c>
      <c r="V19" t="s">
        <v>398</v>
      </c>
      <c r="W19" t="s">
        <v>399</v>
      </c>
      <c r="X19" t="s">
        <v>400</v>
      </c>
      <c r="Y19" t="s">
        <v>401</v>
      </c>
      <c r="Z19" t="s">
        <v>402</v>
      </c>
      <c r="AA19" t="s">
        <v>403</v>
      </c>
      <c r="AB19" t="s">
        <v>404</v>
      </c>
      <c r="AC19" t="s">
        <v>74</v>
      </c>
      <c r="AD19" t="s">
        <v>74</v>
      </c>
      <c r="AE19" t="s">
        <v>74</v>
      </c>
      <c r="AF19" t="s">
        <v>74</v>
      </c>
      <c r="AG19">
        <v>59</v>
      </c>
      <c r="AH19">
        <v>44</v>
      </c>
      <c r="AI19">
        <v>46</v>
      </c>
      <c r="AJ19">
        <v>0</v>
      </c>
      <c r="AK19">
        <v>9</v>
      </c>
      <c r="AL19" t="s">
        <v>351</v>
      </c>
      <c r="AM19" t="s">
        <v>352</v>
      </c>
      <c r="AN19" t="s">
        <v>353</v>
      </c>
      <c r="AO19" t="s">
        <v>354</v>
      </c>
      <c r="AP19" t="s">
        <v>355</v>
      </c>
      <c r="AQ19" t="s">
        <v>74</v>
      </c>
      <c r="AR19" t="s">
        <v>356</v>
      </c>
      <c r="AS19" t="s">
        <v>357</v>
      </c>
      <c r="AT19" t="s">
        <v>74</v>
      </c>
      <c r="AU19">
        <v>2007</v>
      </c>
      <c r="AV19">
        <v>7</v>
      </c>
      <c r="AW19">
        <v>12</v>
      </c>
      <c r="AX19" t="s">
        <v>74</v>
      </c>
      <c r="AY19" t="s">
        <v>74</v>
      </c>
      <c r="AZ19" t="s">
        <v>74</v>
      </c>
      <c r="BA19" t="s">
        <v>74</v>
      </c>
      <c r="BB19">
        <v>3055</v>
      </c>
      <c r="BC19">
        <v>3069</v>
      </c>
      <c r="BD19" t="s">
        <v>74</v>
      </c>
      <c r="BE19" t="s">
        <v>405</v>
      </c>
      <c r="BF19" t="str">
        <f>HYPERLINK("http://dx.doi.org/10.5194/acp-7-3055-2007","http://dx.doi.org/10.5194/acp-7-3055-2007")</f>
        <v>http://dx.doi.org/10.5194/acp-7-3055-2007</v>
      </c>
      <c r="BG19" t="s">
        <v>74</v>
      </c>
      <c r="BH19" t="s">
        <v>74</v>
      </c>
      <c r="BI19">
        <v>15</v>
      </c>
      <c r="BJ19" t="s">
        <v>359</v>
      </c>
      <c r="BK19" t="s">
        <v>97</v>
      </c>
      <c r="BL19" t="s">
        <v>360</v>
      </c>
      <c r="BM19" t="s">
        <v>406</v>
      </c>
      <c r="BN19" t="s">
        <v>74</v>
      </c>
      <c r="BO19" t="s">
        <v>407</v>
      </c>
      <c r="BP19" t="s">
        <v>74</v>
      </c>
      <c r="BQ19" t="s">
        <v>74</v>
      </c>
      <c r="BR19" t="s">
        <v>100</v>
      </c>
      <c r="BS19" t="s">
        <v>408</v>
      </c>
      <c r="BT19" t="str">
        <f>HYPERLINK("https%3A%2F%2Fwww.webofscience.com%2Fwos%2Fwoscc%2Ffull-record%2FWOS:000247572500001","View Full Record in Web of Science")</f>
        <v>View Full Record in Web of Science</v>
      </c>
    </row>
    <row r="20" spans="1:72" x14ac:dyDescent="0.15">
      <c r="A20" t="s">
        <v>72</v>
      </c>
      <c r="B20" t="s">
        <v>409</v>
      </c>
      <c r="C20" t="s">
        <v>74</v>
      </c>
      <c r="D20" t="s">
        <v>74</v>
      </c>
      <c r="E20" t="s">
        <v>74</v>
      </c>
      <c r="F20" t="s">
        <v>410</v>
      </c>
      <c r="G20" t="s">
        <v>74</v>
      </c>
      <c r="H20" t="s">
        <v>74</v>
      </c>
      <c r="I20" t="s">
        <v>411</v>
      </c>
      <c r="J20" t="s">
        <v>342</v>
      </c>
      <c r="K20" t="s">
        <v>74</v>
      </c>
      <c r="L20" t="s">
        <v>74</v>
      </c>
      <c r="M20" t="s">
        <v>78</v>
      </c>
      <c r="N20" t="s">
        <v>79</v>
      </c>
      <c r="O20" t="s">
        <v>74</v>
      </c>
      <c r="P20" t="s">
        <v>74</v>
      </c>
      <c r="Q20" t="s">
        <v>74</v>
      </c>
      <c r="R20" t="s">
        <v>74</v>
      </c>
      <c r="S20" t="s">
        <v>74</v>
      </c>
      <c r="T20" t="s">
        <v>74</v>
      </c>
      <c r="U20" t="s">
        <v>412</v>
      </c>
      <c r="V20" t="s">
        <v>413</v>
      </c>
      <c r="W20" t="s">
        <v>414</v>
      </c>
      <c r="X20" t="s">
        <v>415</v>
      </c>
      <c r="Y20" t="s">
        <v>416</v>
      </c>
      <c r="Z20" t="s">
        <v>417</v>
      </c>
      <c r="AA20" t="s">
        <v>418</v>
      </c>
      <c r="AB20" t="s">
        <v>419</v>
      </c>
      <c r="AC20" t="s">
        <v>74</v>
      </c>
      <c r="AD20" t="s">
        <v>74</v>
      </c>
      <c r="AE20" t="s">
        <v>74</v>
      </c>
      <c r="AF20" t="s">
        <v>74</v>
      </c>
      <c r="AG20">
        <v>50</v>
      </c>
      <c r="AH20">
        <v>52</v>
      </c>
      <c r="AI20">
        <v>59</v>
      </c>
      <c r="AJ20">
        <v>1</v>
      </c>
      <c r="AK20">
        <v>12</v>
      </c>
      <c r="AL20" t="s">
        <v>351</v>
      </c>
      <c r="AM20" t="s">
        <v>352</v>
      </c>
      <c r="AN20" t="s">
        <v>353</v>
      </c>
      <c r="AO20" t="s">
        <v>354</v>
      </c>
      <c r="AP20" t="s">
        <v>355</v>
      </c>
      <c r="AQ20" t="s">
        <v>74</v>
      </c>
      <c r="AR20" t="s">
        <v>356</v>
      </c>
      <c r="AS20" t="s">
        <v>357</v>
      </c>
      <c r="AT20" t="s">
        <v>74</v>
      </c>
      <c r="AU20">
        <v>2007</v>
      </c>
      <c r="AV20">
        <v>7</v>
      </c>
      <c r="AW20">
        <v>12</v>
      </c>
      <c r="AX20" t="s">
        <v>74</v>
      </c>
      <c r="AY20" t="s">
        <v>74</v>
      </c>
      <c r="AZ20" t="s">
        <v>74</v>
      </c>
      <c r="BA20" t="s">
        <v>74</v>
      </c>
      <c r="BB20">
        <v>3129</v>
      </c>
      <c r="BC20">
        <v>3142</v>
      </c>
      <c r="BD20" t="s">
        <v>74</v>
      </c>
      <c r="BE20" t="s">
        <v>420</v>
      </c>
      <c r="BF20" t="str">
        <f>HYPERLINK("http://dx.doi.org/10.5194/acp-7-3129-2007","http://dx.doi.org/10.5194/acp-7-3129-2007")</f>
        <v>http://dx.doi.org/10.5194/acp-7-3129-2007</v>
      </c>
      <c r="BG20" t="s">
        <v>74</v>
      </c>
      <c r="BH20" t="s">
        <v>74</v>
      </c>
      <c r="BI20">
        <v>14</v>
      </c>
      <c r="BJ20" t="s">
        <v>359</v>
      </c>
      <c r="BK20" t="s">
        <v>97</v>
      </c>
      <c r="BL20" t="s">
        <v>360</v>
      </c>
      <c r="BM20" t="s">
        <v>406</v>
      </c>
      <c r="BN20" t="s">
        <v>74</v>
      </c>
      <c r="BO20" t="s">
        <v>337</v>
      </c>
      <c r="BP20" t="s">
        <v>74</v>
      </c>
      <c r="BQ20" t="s">
        <v>74</v>
      </c>
      <c r="BR20" t="s">
        <v>100</v>
      </c>
      <c r="BS20" t="s">
        <v>421</v>
      </c>
      <c r="BT20" t="str">
        <f>HYPERLINK("https%3A%2F%2Fwww.webofscience.com%2Fwos%2Fwoscc%2Ffull-record%2FWOS:000247572500006","View Full Record in Web of Science")</f>
        <v>View Full Record in Web of Science</v>
      </c>
    </row>
    <row r="21" spans="1:72" x14ac:dyDescent="0.15">
      <c r="A21" t="s">
        <v>72</v>
      </c>
      <c r="B21" t="s">
        <v>422</v>
      </c>
      <c r="C21" t="s">
        <v>74</v>
      </c>
      <c r="D21" t="s">
        <v>74</v>
      </c>
      <c r="E21" t="s">
        <v>74</v>
      </c>
      <c r="F21" t="s">
        <v>423</v>
      </c>
      <c r="G21" t="s">
        <v>74</v>
      </c>
      <c r="H21" t="s">
        <v>74</v>
      </c>
      <c r="I21" t="s">
        <v>424</v>
      </c>
      <c r="J21" t="s">
        <v>342</v>
      </c>
      <c r="K21" t="s">
        <v>74</v>
      </c>
      <c r="L21" t="s">
        <v>74</v>
      </c>
      <c r="M21" t="s">
        <v>78</v>
      </c>
      <c r="N21" t="s">
        <v>79</v>
      </c>
      <c r="O21" t="s">
        <v>74</v>
      </c>
      <c r="P21" t="s">
        <v>74</v>
      </c>
      <c r="Q21" t="s">
        <v>74</v>
      </c>
      <c r="R21" t="s">
        <v>74</v>
      </c>
      <c r="S21" t="s">
        <v>74</v>
      </c>
      <c r="T21" t="s">
        <v>74</v>
      </c>
      <c r="U21" t="s">
        <v>425</v>
      </c>
      <c r="V21" t="s">
        <v>426</v>
      </c>
      <c r="W21" t="s">
        <v>427</v>
      </c>
      <c r="X21" t="s">
        <v>428</v>
      </c>
      <c r="Y21" t="s">
        <v>429</v>
      </c>
      <c r="Z21" t="s">
        <v>430</v>
      </c>
      <c r="AA21" t="s">
        <v>431</v>
      </c>
      <c r="AB21" t="s">
        <v>432</v>
      </c>
      <c r="AC21" t="s">
        <v>74</v>
      </c>
      <c r="AD21" t="s">
        <v>74</v>
      </c>
      <c r="AE21" t="s">
        <v>74</v>
      </c>
      <c r="AF21" t="s">
        <v>74</v>
      </c>
      <c r="AG21">
        <v>76</v>
      </c>
      <c r="AH21">
        <v>40</v>
      </c>
      <c r="AI21">
        <v>41</v>
      </c>
      <c r="AJ21">
        <v>0</v>
      </c>
      <c r="AK21">
        <v>9</v>
      </c>
      <c r="AL21" t="s">
        <v>351</v>
      </c>
      <c r="AM21" t="s">
        <v>352</v>
      </c>
      <c r="AN21" t="s">
        <v>353</v>
      </c>
      <c r="AO21" t="s">
        <v>354</v>
      </c>
      <c r="AP21" t="s">
        <v>355</v>
      </c>
      <c r="AQ21" t="s">
        <v>74</v>
      </c>
      <c r="AR21" t="s">
        <v>356</v>
      </c>
      <c r="AS21" t="s">
        <v>357</v>
      </c>
      <c r="AT21" t="s">
        <v>74</v>
      </c>
      <c r="AU21">
        <v>2007</v>
      </c>
      <c r="AV21">
        <v>7</v>
      </c>
      <c r="AW21">
        <v>12</v>
      </c>
      <c r="AX21" t="s">
        <v>74</v>
      </c>
      <c r="AY21" t="s">
        <v>74</v>
      </c>
      <c r="AZ21" t="s">
        <v>74</v>
      </c>
      <c r="BA21" t="s">
        <v>74</v>
      </c>
      <c r="BB21">
        <v>3261</v>
      </c>
      <c r="BC21">
        <v>3284</v>
      </c>
      <c r="BD21" t="s">
        <v>74</v>
      </c>
      <c r="BE21" t="s">
        <v>433</v>
      </c>
      <c r="BF21" t="str">
        <f>HYPERLINK("http://dx.doi.org/10.5194/acp-7-3261-2007","http://dx.doi.org/10.5194/acp-7-3261-2007")</f>
        <v>http://dx.doi.org/10.5194/acp-7-3261-2007</v>
      </c>
      <c r="BG21" t="s">
        <v>74</v>
      </c>
      <c r="BH21" t="s">
        <v>74</v>
      </c>
      <c r="BI21">
        <v>24</v>
      </c>
      <c r="BJ21" t="s">
        <v>359</v>
      </c>
      <c r="BK21" t="s">
        <v>97</v>
      </c>
      <c r="BL21" t="s">
        <v>360</v>
      </c>
      <c r="BM21" t="s">
        <v>406</v>
      </c>
      <c r="BN21" t="s">
        <v>74</v>
      </c>
      <c r="BO21" t="s">
        <v>337</v>
      </c>
      <c r="BP21" t="s">
        <v>74</v>
      </c>
      <c r="BQ21" t="s">
        <v>74</v>
      </c>
      <c r="BR21" t="s">
        <v>100</v>
      </c>
      <c r="BS21" t="s">
        <v>434</v>
      </c>
      <c r="BT21" t="str">
        <f>HYPERLINK("https%3A%2F%2Fwww.webofscience.com%2Fwos%2Fwoscc%2Ffull-record%2FWOS:000247572500014","View Full Record in Web of Science")</f>
        <v>View Full Record in Web of Science</v>
      </c>
    </row>
    <row r="22" spans="1:72" x14ac:dyDescent="0.15">
      <c r="A22" t="s">
        <v>72</v>
      </c>
      <c r="B22" t="s">
        <v>435</v>
      </c>
      <c r="C22" t="s">
        <v>74</v>
      </c>
      <c r="D22" t="s">
        <v>74</v>
      </c>
      <c r="E22" t="s">
        <v>74</v>
      </c>
      <c r="F22" t="s">
        <v>436</v>
      </c>
      <c r="G22" t="s">
        <v>74</v>
      </c>
      <c r="H22" t="s">
        <v>74</v>
      </c>
      <c r="I22" t="s">
        <v>437</v>
      </c>
      <c r="J22" t="s">
        <v>342</v>
      </c>
      <c r="K22" t="s">
        <v>74</v>
      </c>
      <c r="L22" t="s">
        <v>74</v>
      </c>
      <c r="M22" t="s">
        <v>78</v>
      </c>
      <c r="N22" t="s">
        <v>79</v>
      </c>
      <c r="O22" t="s">
        <v>74</v>
      </c>
      <c r="P22" t="s">
        <v>74</v>
      </c>
      <c r="Q22" t="s">
        <v>74</v>
      </c>
      <c r="R22" t="s">
        <v>74</v>
      </c>
      <c r="S22" t="s">
        <v>74</v>
      </c>
      <c r="T22" t="s">
        <v>74</v>
      </c>
      <c r="U22" t="s">
        <v>438</v>
      </c>
      <c r="V22" t="s">
        <v>439</v>
      </c>
      <c r="W22" t="s">
        <v>440</v>
      </c>
      <c r="X22" t="s">
        <v>441</v>
      </c>
      <c r="Y22" t="s">
        <v>442</v>
      </c>
      <c r="Z22" t="s">
        <v>443</v>
      </c>
      <c r="AA22" t="s">
        <v>444</v>
      </c>
      <c r="AB22" t="s">
        <v>445</v>
      </c>
      <c r="AC22" t="s">
        <v>74</v>
      </c>
      <c r="AD22" t="s">
        <v>74</v>
      </c>
      <c r="AE22" t="s">
        <v>74</v>
      </c>
      <c r="AF22" t="s">
        <v>74</v>
      </c>
      <c r="AG22">
        <v>55</v>
      </c>
      <c r="AH22">
        <v>52</v>
      </c>
      <c r="AI22">
        <v>60</v>
      </c>
      <c r="AJ22">
        <v>1</v>
      </c>
      <c r="AK22">
        <v>21</v>
      </c>
      <c r="AL22" t="s">
        <v>351</v>
      </c>
      <c r="AM22" t="s">
        <v>352</v>
      </c>
      <c r="AN22" t="s">
        <v>353</v>
      </c>
      <c r="AO22" t="s">
        <v>354</v>
      </c>
      <c r="AP22" t="s">
        <v>355</v>
      </c>
      <c r="AQ22" t="s">
        <v>74</v>
      </c>
      <c r="AR22" t="s">
        <v>356</v>
      </c>
      <c r="AS22" t="s">
        <v>357</v>
      </c>
      <c r="AT22" t="s">
        <v>74</v>
      </c>
      <c r="AU22">
        <v>2007</v>
      </c>
      <c r="AV22">
        <v>7</v>
      </c>
      <c r="AW22">
        <v>16</v>
      </c>
      <c r="AX22" t="s">
        <v>74</v>
      </c>
      <c r="AY22" t="s">
        <v>74</v>
      </c>
      <c r="AZ22" t="s">
        <v>74</v>
      </c>
      <c r="BA22" t="s">
        <v>74</v>
      </c>
      <c r="BB22">
        <v>4171</v>
      </c>
      <c r="BC22">
        <v>4185</v>
      </c>
      <c r="BD22" t="s">
        <v>74</v>
      </c>
      <c r="BE22" t="s">
        <v>446</v>
      </c>
      <c r="BF22" t="str">
        <f>HYPERLINK("http://dx.doi.org/10.5194/acp-7-4171-2007","http://dx.doi.org/10.5194/acp-7-4171-2007")</f>
        <v>http://dx.doi.org/10.5194/acp-7-4171-2007</v>
      </c>
      <c r="BG22" t="s">
        <v>74</v>
      </c>
      <c r="BH22" t="s">
        <v>74</v>
      </c>
      <c r="BI22">
        <v>15</v>
      </c>
      <c r="BJ22" t="s">
        <v>359</v>
      </c>
      <c r="BK22" t="s">
        <v>97</v>
      </c>
      <c r="BL22" t="s">
        <v>360</v>
      </c>
      <c r="BM22" t="s">
        <v>447</v>
      </c>
      <c r="BN22" t="s">
        <v>74</v>
      </c>
      <c r="BO22" t="s">
        <v>448</v>
      </c>
      <c r="BP22" t="s">
        <v>74</v>
      </c>
      <c r="BQ22" t="s">
        <v>74</v>
      </c>
      <c r="BR22" t="s">
        <v>100</v>
      </c>
      <c r="BS22" t="s">
        <v>449</v>
      </c>
      <c r="BT22" t="str">
        <f>HYPERLINK("https%3A%2F%2Fwww.webofscience.com%2Fwos%2Fwoscc%2Ffull-record%2FWOS:000249072900001","View Full Record in Web of Science")</f>
        <v>View Full Record in Web of Science</v>
      </c>
    </row>
    <row r="23" spans="1:72" x14ac:dyDescent="0.15">
      <c r="A23" t="s">
        <v>72</v>
      </c>
      <c r="B23" t="s">
        <v>450</v>
      </c>
      <c r="C23" t="s">
        <v>74</v>
      </c>
      <c r="D23" t="s">
        <v>74</v>
      </c>
      <c r="E23" t="s">
        <v>74</v>
      </c>
      <c r="F23" t="s">
        <v>451</v>
      </c>
      <c r="G23" t="s">
        <v>74</v>
      </c>
      <c r="H23" t="s">
        <v>74</v>
      </c>
      <c r="I23" t="s">
        <v>452</v>
      </c>
      <c r="J23" t="s">
        <v>342</v>
      </c>
      <c r="K23" t="s">
        <v>74</v>
      </c>
      <c r="L23" t="s">
        <v>74</v>
      </c>
      <c r="M23" t="s">
        <v>78</v>
      </c>
      <c r="N23" t="s">
        <v>366</v>
      </c>
      <c r="O23" t="s">
        <v>74</v>
      </c>
      <c r="P23" t="s">
        <v>74</v>
      </c>
      <c r="Q23" t="s">
        <v>74</v>
      </c>
      <c r="R23" t="s">
        <v>74</v>
      </c>
      <c r="S23" t="s">
        <v>74</v>
      </c>
      <c r="T23" t="s">
        <v>74</v>
      </c>
      <c r="U23" t="s">
        <v>453</v>
      </c>
      <c r="V23" t="s">
        <v>454</v>
      </c>
      <c r="W23" t="s">
        <v>455</v>
      </c>
      <c r="X23" t="s">
        <v>456</v>
      </c>
      <c r="Y23" t="s">
        <v>457</v>
      </c>
      <c r="Z23" t="s">
        <v>458</v>
      </c>
      <c r="AA23" t="s">
        <v>459</v>
      </c>
      <c r="AB23" t="s">
        <v>460</v>
      </c>
      <c r="AC23" t="s">
        <v>74</v>
      </c>
      <c r="AD23" t="s">
        <v>74</v>
      </c>
      <c r="AE23" t="s">
        <v>74</v>
      </c>
      <c r="AF23" t="s">
        <v>74</v>
      </c>
      <c r="AG23">
        <v>352</v>
      </c>
      <c r="AH23">
        <v>444</v>
      </c>
      <c r="AI23">
        <v>506</v>
      </c>
      <c r="AJ23">
        <v>7</v>
      </c>
      <c r="AK23">
        <v>202</v>
      </c>
      <c r="AL23" t="s">
        <v>351</v>
      </c>
      <c r="AM23" t="s">
        <v>352</v>
      </c>
      <c r="AN23" t="s">
        <v>353</v>
      </c>
      <c r="AO23" t="s">
        <v>354</v>
      </c>
      <c r="AP23" t="s">
        <v>355</v>
      </c>
      <c r="AQ23" t="s">
        <v>74</v>
      </c>
      <c r="AR23" t="s">
        <v>356</v>
      </c>
      <c r="AS23" t="s">
        <v>357</v>
      </c>
      <c r="AT23" t="s">
        <v>74</v>
      </c>
      <c r="AU23">
        <v>2007</v>
      </c>
      <c r="AV23">
        <v>7</v>
      </c>
      <c r="AW23">
        <v>16</v>
      </c>
      <c r="AX23" t="s">
        <v>74</v>
      </c>
      <c r="AY23" t="s">
        <v>74</v>
      </c>
      <c r="AZ23" t="s">
        <v>74</v>
      </c>
      <c r="BA23" t="s">
        <v>74</v>
      </c>
      <c r="BB23">
        <v>4329</v>
      </c>
      <c r="BC23">
        <v>4373</v>
      </c>
      <c r="BD23" t="s">
        <v>74</v>
      </c>
      <c r="BE23" t="s">
        <v>461</v>
      </c>
      <c r="BF23" t="str">
        <f>HYPERLINK("http://dx.doi.org/10.5194/acp-7-4329-2007","http://dx.doi.org/10.5194/acp-7-4329-2007")</f>
        <v>http://dx.doi.org/10.5194/acp-7-4329-2007</v>
      </c>
      <c r="BG23" t="s">
        <v>74</v>
      </c>
      <c r="BH23" t="s">
        <v>74</v>
      </c>
      <c r="BI23">
        <v>45</v>
      </c>
      <c r="BJ23" t="s">
        <v>359</v>
      </c>
      <c r="BK23" t="s">
        <v>97</v>
      </c>
      <c r="BL23" t="s">
        <v>360</v>
      </c>
      <c r="BM23" t="s">
        <v>447</v>
      </c>
      <c r="BN23" t="s">
        <v>74</v>
      </c>
      <c r="BO23" t="s">
        <v>462</v>
      </c>
      <c r="BP23" t="s">
        <v>74</v>
      </c>
      <c r="BQ23" t="s">
        <v>74</v>
      </c>
      <c r="BR23" t="s">
        <v>100</v>
      </c>
      <c r="BS23" t="s">
        <v>463</v>
      </c>
      <c r="BT23" t="str">
        <f>HYPERLINK("https%3A%2F%2Fwww.webofscience.com%2Fwos%2Fwoscc%2Ffull-record%2FWOS:000249072900013","View Full Record in Web of Science")</f>
        <v>View Full Record in Web of Science</v>
      </c>
    </row>
    <row r="24" spans="1:72" x14ac:dyDescent="0.15">
      <c r="A24" t="s">
        <v>72</v>
      </c>
      <c r="B24" t="s">
        <v>464</v>
      </c>
      <c r="C24" t="s">
        <v>74</v>
      </c>
      <c r="D24" t="s">
        <v>74</v>
      </c>
      <c r="E24" t="s">
        <v>74</v>
      </c>
      <c r="F24" t="s">
        <v>465</v>
      </c>
      <c r="G24" t="s">
        <v>74</v>
      </c>
      <c r="H24" t="s">
        <v>74</v>
      </c>
      <c r="I24" t="s">
        <v>466</v>
      </c>
      <c r="J24" t="s">
        <v>342</v>
      </c>
      <c r="K24" t="s">
        <v>74</v>
      </c>
      <c r="L24" t="s">
        <v>74</v>
      </c>
      <c r="M24" t="s">
        <v>78</v>
      </c>
      <c r="N24" t="s">
        <v>366</v>
      </c>
      <c r="O24" t="s">
        <v>74</v>
      </c>
      <c r="P24" t="s">
        <v>74</v>
      </c>
      <c r="Q24" t="s">
        <v>74</v>
      </c>
      <c r="R24" t="s">
        <v>74</v>
      </c>
      <c r="S24" t="s">
        <v>74</v>
      </c>
      <c r="T24" t="s">
        <v>74</v>
      </c>
      <c r="U24" t="s">
        <v>467</v>
      </c>
      <c r="V24" t="s">
        <v>468</v>
      </c>
      <c r="W24" t="s">
        <v>469</v>
      </c>
      <c r="X24" t="s">
        <v>470</v>
      </c>
      <c r="Y24" t="s">
        <v>471</v>
      </c>
      <c r="Z24" t="s">
        <v>472</v>
      </c>
      <c r="AA24" t="s">
        <v>473</v>
      </c>
      <c r="AB24" t="s">
        <v>474</v>
      </c>
      <c r="AC24" t="s">
        <v>74</v>
      </c>
      <c r="AD24" t="s">
        <v>74</v>
      </c>
      <c r="AE24" t="s">
        <v>74</v>
      </c>
      <c r="AF24" t="s">
        <v>74</v>
      </c>
      <c r="AG24">
        <v>305</v>
      </c>
      <c r="AH24">
        <v>450</v>
      </c>
      <c r="AI24">
        <v>526</v>
      </c>
      <c r="AJ24">
        <v>6</v>
      </c>
      <c r="AK24">
        <v>255</v>
      </c>
      <c r="AL24" t="s">
        <v>351</v>
      </c>
      <c r="AM24" t="s">
        <v>352</v>
      </c>
      <c r="AN24" t="s">
        <v>353</v>
      </c>
      <c r="AO24" t="s">
        <v>354</v>
      </c>
      <c r="AP24" t="s">
        <v>355</v>
      </c>
      <c r="AQ24" t="s">
        <v>74</v>
      </c>
      <c r="AR24" t="s">
        <v>356</v>
      </c>
      <c r="AS24" t="s">
        <v>357</v>
      </c>
      <c r="AT24" t="s">
        <v>74</v>
      </c>
      <c r="AU24">
        <v>2007</v>
      </c>
      <c r="AV24">
        <v>7</v>
      </c>
      <c r="AW24">
        <v>16</v>
      </c>
      <c r="AX24" t="s">
        <v>74</v>
      </c>
      <c r="AY24" t="s">
        <v>74</v>
      </c>
      <c r="AZ24" t="s">
        <v>74</v>
      </c>
      <c r="BA24" t="s">
        <v>74</v>
      </c>
      <c r="BB24">
        <v>4375</v>
      </c>
      <c r="BC24">
        <v>4418</v>
      </c>
      <c r="BD24" t="s">
        <v>74</v>
      </c>
      <c r="BE24" t="s">
        <v>475</v>
      </c>
      <c r="BF24" t="str">
        <f>HYPERLINK("http://dx.doi.org/10.5194/acp-7-4375-2007","http://dx.doi.org/10.5194/acp-7-4375-2007")</f>
        <v>http://dx.doi.org/10.5194/acp-7-4375-2007</v>
      </c>
      <c r="BG24" t="s">
        <v>74</v>
      </c>
      <c r="BH24" t="s">
        <v>74</v>
      </c>
      <c r="BI24">
        <v>44</v>
      </c>
      <c r="BJ24" t="s">
        <v>359</v>
      </c>
      <c r="BK24" t="s">
        <v>97</v>
      </c>
      <c r="BL24" t="s">
        <v>360</v>
      </c>
      <c r="BM24" t="s">
        <v>447</v>
      </c>
      <c r="BN24" t="s">
        <v>74</v>
      </c>
      <c r="BO24" t="s">
        <v>476</v>
      </c>
      <c r="BP24" t="s">
        <v>74</v>
      </c>
      <c r="BQ24" t="s">
        <v>74</v>
      </c>
      <c r="BR24" t="s">
        <v>100</v>
      </c>
      <c r="BS24" t="s">
        <v>477</v>
      </c>
      <c r="BT24" t="str">
        <f>HYPERLINK("https%3A%2F%2Fwww.webofscience.com%2Fwos%2Fwoscc%2Ffull-record%2FWOS:000249072900014","View Full Record in Web of Science")</f>
        <v>View Full Record in Web of Science</v>
      </c>
    </row>
    <row r="25" spans="1:72" x14ac:dyDescent="0.15">
      <c r="A25" t="s">
        <v>72</v>
      </c>
      <c r="B25" t="s">
        <v>478</v>
      </c>
      <c r="C25" t="s">
        <v>74</v>
      </c>
      <c r="D25" t="s">
        <v>74</v>
      </c>
      <c r="E25" t="s">
        <v>74</v>
      </c>
      <c r="F25" t="s">
        <v>479</v>
      </c>
      <c r="G25" t="s">
        <v>74</v>
      </c>
      <c r="H25" t="s">
        <v>74</v>
      </c>
      <c r="I25" t="s">
        <v>480</v>
      </c>
      <c r="J25" t="s">
        <v>342</v>
      </c>
      <c r="K25" t="s">
        <v>74</v>
      </c>
      <c r="L25" t="s">
        <v>74</v>
      </c>
      <c r="M25" t="s">
        <v>78</v>
      </c>
      <c r="N25" t="s">
        <v>79</v>
      </c>
      <c r="O25" t="s">
        <v>74</v>
      </c>
      <c r="P25" t="s">
        <v>74</v>
      </c>
      <c r="Q25" t="s">
        <v>74</v>
      </c>
      <c r="R25" t="s">
        <v>74</v>
      </c>
      <c r="S25" t="s">
        <v>74</v>
      </c>
      <c r="T25" t="s">
        <v>74</v>
      </c>
      <c r="U25" t="s">
        <v>481</v>
      </c>
      <c r="V25" t="s">
        <v>482</v>
      </c>
      <c r="W25" t="s">
        <v>483</v>
      </c>
      <c r="X25" t="s">
        <v>484</v>
      </c>
      <c r="Y25" t="s">
        <v>485</v>
      </c>
      <c r="Z25" t="s">
        <v>486</v>
      </c>
      <c r="AA25" t="s">
        <v>487</v>
      </c>
      <c r="AB25" t="s">
        <v>488</v>
      </c>
      <c r="AC25" t="s">
        <v>74</v>
      </c>
      <c r="AD25" t="s">
        <v>74</v>
      </c>
      <c r="AE25" t="s">
        <v>74</v>
      </c>
      <c r="AF25" t="s">
        <v>74</v>
      </c>
      <c r="AG25">
        <v>39</v>
      </c>
      <c r="AH25">
        <v>211</v>
      </c>
      <c r="AI25">
        <v>222</v>
      </c>
      <c r="AJ25">
        <v>0</v>
      </c>
      <c r="AK25">
        <v>14</v>
      </c>
      <c r="AL25" t="s">
        <v>489</v>
      </c>
      <c r="AM25" t="s">
        <v>490</v>
      </c>
      <c r="AN25" t="s">
        <v>491</v>
      </c>
      <c r="AO25" t="s">
        <v>354</v>
      </c>
      <c r="AP25" t="s">
        <v>74</v>
      </c>
      <c r="AQ25" t="s">
        <v>74</v>
      </c>
      <c r="AR25" t="s">
        <v>356</v>
      </c>
      <c r="AS25" t="s">
        <v>357</v>
      </c>
      <c r="AT25" t="s">
        <v>74</v>
      </c>
      <c r="AU25">
        <v>2007</v>
      </c>
      <c r="AV25">
        <v>7</v>
      </c>
      <c r="AW25">
        <v>17</v>
      </c>
      <c r="AX25" t="s">
        <v>74</v>
      </c>
      <c r="AY25" t="s">
        <v>74</v>
      </c>
      <c r="AZ25" t="s">
        <v>74</v>
      </c>
      <c r="BA25" t="s">
        <v>74</v>
      </c>
      <c r="BB25">
        <v>4537</v>
      </c>
      <c r="BC25">
        <v>4552</v>
      </c>
      <c r="BD25" t="s">
        <v>74</v>
      </c>
      <c r="BE25" t="s">
        <v>492</v>
      </c>
      <c r="BF25" t="str">
        <f>HYPERLINK("http://dx.doi.org/10.5194/acp-7-4537-2007","http://dx.doi.org/10.5194/acp-7-4537-2007")</f>
        <v>http://dx.doi.org/10.5194/acp-7-4537-2007</v>
      </c>
      <c r="BG25" t="s">
        <v>74</v>
      </c>
      <c r="BH25" t="s">
        <v>74</v>
      </c>
      <c r="BI25">
        <v>16</v>
      </c>
      <c r="BJ25" t="s">
        <v>359</v>
      </c>
      <c r="BK25" t="s">
        <v>97</v>
      </c>
      <c r="BL25" t="s">
        <v>360</v>
      </c>
      <c r="BM25" t="s">
        <v>493</v>
      </c>
      <c r="BN25" t="s">
        <v>74</v>
      </c>
      <c r="BO25" t="s">
        <v>337</v>
      </c>
      <c r="BP25" t="s">
        <v>74</v>
      </c>
      <c r="BQ25" t="s">
        <v>74</v>
      </c>
      <c r="BR25" t="s">
        <v>100</v>
      </c>
      <c r="BS25" t="s">
        <v>494</v>
      </c>
      <c r="BT25" t="str">
        <f>HYPERLINK("https%3A%2F%2Fwww.webofscience.com%2Fwos%2Fwoscc%2Ffull-record%2FWOS:000249475000005","View Full Record in Web of Science")</f>
        <v>View Full Record in Web of Science</v>
      </c>
    </row>
    <row r="26" spans="1:72" x14ac:dyDescent="0.15">
      <c r="A26" t="s">
        <v>72</v>
      </c>
      <c r="B26" t="s">
        <v>495</v>
      </c>
      <c r="C26" t="s">
        <v>74</v>
      </c>
      <c r="D26" t="s">
        <v>74</v>
      </c>
      <c r="E26" t="s">
        <v>74</v>
      </c>
      <c r="F26" t="s">
        <v>496</v>
      </c>
      <c r="G26" t="s">
        <v>74</v>
      </c>
      <c r="H26" t="s">
        <v>74</v>
      </c>
      <c r="I26" t="s">
        <v>497</v>
      </c>
      <c r="J26" t="s">
        <v>342</v>
      </c>
      <c r="K26" t="s">
        <v>74</v>
      </c>
      <c r="L26" t="s">
        <v>74</v>
      </c>
      <c r="M26" t="s">
        <v>78</v>
      </c>
      <c r="N26" t="s">
        <v>79</v>
      </c>
      <c r="O26" t="s">
        <v>74</v>
      </c>
      <c r="P26" t="s">
        <v>74</v>
      </c>
      <c r="Q26" t="s">
        <v>74</v>
      </c>
      <c r="R26" t="s">
        <v>74</v>
      </c>
      <c r="S26" t="s">
        <v>74</v>
      </c>
      <c r="T26" t="s">
        <v>74</v>
      </c>
      <c r="U26" t="s">
        <v>498</v>
      </c>
      <c r="V26" t="s">
        <v>499</v>
      </c>
      <c r="W26" t="s">
        <v>500</v>
      </c>
      <c r="X26" t="s">
        <v>501</v>
      </c>
      <c r="Y26" t="s">
        <v>502</v>
      </c>
      <c r="Z26" t="s">
        <v>503</v>
      </c>
      <c r="AA26" t="s">
        <v>504</v>
      </c>
      <c r="AB26" t="s">
        <v>505</v>
      </c>
      <c r="AC26" t="s">
        <v>74</v>
      </c>
      <c r="AD26" t="s">
        <v>74</v>
      </c>
      <c r="AE26" t="s">
        <v>74</v>
      </c>
      <c r="AF26" t="s">
        <v>74</v>
      </c>
      <c r="AG26">
        <v>38</v>
      </c>
      <c r="AH26">
        <v>20</v>
      </c>
      <c r="AI26">
        <v>21</v>
      </c>
      <c r="AJ26">
        <v>0</v>
      </c>
      <c r="AK26">
        <v>16</v>
      </c>
      <c r="AL26" t="s">
        <v>351</v>
      </c>
      <c r="AM26" t="s">
        <v>352</v>
      </c>
      <c r="AN26" t="s">
        <v>353</v>
      </c>
      <c r="AO26" t="s">
        <v>354</v>
      </c>
      <c r="AP26" t="s">
        <v>355</v>
      </c>
      <c r="AQ26" t="s">
        <v>74</v>
      </c>
      <c r="AR26" t="s">
        <v>356</v>
      </c>
      <c r="AS26" t="s">
        <v>357</v>
      </c>
      <c r="AT26" t="s">
        <v>74</v>
      </c>
      <c r="AU26">
        <v>2007</v>
      </c>
      <c r="AV26">
        <v>7</v>
      </c>
      <c r="AW26">
        <v>17</v>
      </c>
      <c r="AX26" t="s">
        <v>74</v>
      </c>
      <c r="AY26" t="s">
        <v>74</v>
      </c>
      <c r="AZ26" t="s">
        <v>74</v>
      </c>
      <c r="BA26" t="s">
        <v>74</v>
      </c>
      <c r="BB26">
        <v>4589</v>
      </c>
      <c r="BC26">
        <v>4599</v>
      </c>
      <c r="BD26" t="s">
        <v>74</v>
      </c>
      <c r="BE26" t="s">
        <v>506</v>
      </c>
      <c r="BF26" t="str">
        <f>HYPERLINK("http://dx.doi.org/10.5194/acp-7-4589-2007","http://dx.doi.org/10.5194/acp-7-4589-2007")</f>
        <v>http://dx.doi.org/10.5194/acp-7-4589-2007</v>
      </c>
      <c r="BG26" t="s">
        <v>74</v>
      </c>
      <c r="BH26" t="s">
        <v>74</v>
      </c>
      <c r="BI26">
        <v>11</v>
      </c>
      <c r="BJ26" t="s">
        <v>359</v>
      </c>
      <c r="BK26" t="s">
        <v>97</v>
      </c>
      <c r="BL26" t="s">
        <v>360</v>
      </c>
      <c r="BM26" t="s">
        <v>493</v>
      </c>
      <c r="BN26" t="s">
        <v>74</v>
      </c>
      <c r="BO26" t="s">
        <v>337</v>
      </c>
      <c r="BP26" t="s">
        <v>74</v>
      </c>
      <c r="BQ26" t="s">
        <v>74</v>
      </c>
      <c r="BR26" t="s">
        <v>100</v>
      </c>
      <c r="BS26" t="s">
        <v>507</v>
      </c>
      <c r="BT26" t="str">
        <f>HYPERLINK("https%3A%2F%2Fwww.webofscience.com%2Fwos%2Fwoscc%2Ffull-record%2FWOS:000249475000008","View Full Record in Web of Science")</f>
        <v>View Full Record in Web of Science</v>
      </c>
    </row>
    <row r="27" spans="1:72" x14ac:dyDescent="0.15">
      <c r="A27" t="s">
        <v>72</v>
      </c>
      <c r="B27" t="s">
        <v>508</v>
      </c>
      <c r="C27" t="s">
        <v>74</v>
      </c>
      <c r="D27" t="s">
        <v>74</v>
      </c>
      <c r="E27" t="s">
        <v>74</v>
      </c>
      <c r="F27" t="s">
        <v>509</v>
      </c>
      <c r="G27" t="s">
        <v>74</v>
      </c>
      <c r="H27" t="s">
        <v>74</v>
      </c>
      <c r="I27" t="s">
        <v>510</v>
      </c>
      <c r="J27" t="s">
        <v>342</v>
      </c>
      <c r="K27" t="s">
        <v>74</v>
      </c>
      <c r="L27" t="s">
        <v>74</v>
      </c>
      <c r="M27" t="s">
        <v>78</v>
      </c>
      <c r="N27" t="s">
        <v>79</v>
      </c>
      <c r="O27" t="s">
        <v>74</v>
      </c>
      <c r="P27" t="s">
        <v>74</v>
      </c>
      <c r="Q27" t="s">
        <v>74</v>
      </c>
      <c r="R27" t="s">
        <v>74</v>
      </c>
      <c r="S27" t="s">
        <v>74</v>
      </c>
      <c r="T27" t="s">
        <v>74</v>
      </c>
      <c r="U27" t="s">
        <v>511</v>
      </c>
      <c r="V27" t="s">
        <v>512</v>
      </c>
      <c r="W27" t="s">
        <v>513</v>
      </c>
      <c r="X27" t="s">
        <v>514</v>
      </c>
      <c r="Y27" t="s">
        <v>515</v>
      </c>
      <c r="Z27" t="s">
        <v>516</v>
      </c>
      <c r="AA27" t="s">
        <v>74</v>
      </c>
      <c r="AB27" t="s">
        <v>74</v>
      </c>
      <c r="AC27" t="s">
        <v>74</v>
      </c>
      <c r="AD27" t="s">
        <v>74</v>
      </c>
      <c r="AE27" t="s">
        <v>74</v>
      </c>
      <c r="AF27" t="s">
        <v>74</v>
      </c>
      <c r="AG27">
        <v>11</v>
      </c>
      <c r="AH27">
        <v>5</v>
      </c>
      <c r="AI27">
        <v>5</v>
      </c>
      <c r="AJ27">
        <v>0</v>
      </c>
      <c r="AK27">
        <v>1</v>
      </c>
      <c r="AL27" t="s">
        <v>351</v>
      </c>
      <c r="AM27" t="s">
        <v>352</v>
      </c>
      <c r="AN27" t="s">
        <v>353</v>
      </c>
      <c r="AO27" t="s">
        <v>354</v>
      </c>
      <c r="AP27" t="s">
        <v>355</v>
      </c>
      <c r="AQ27" t="s">
        <v>74</v>
      </c>
      <c r="AR27" t="s">
        <v>356</v>
      </c>
      <c r="AS27" t="s">
        <v>357</v>
      </c>
      <c r="AT27" t="s">
        <v>74</v>
      </c>
      <c r="AU27">
        <v>2007</v>
      </c>
      <c r="AV27">
        <v>7</v>
      </c>
      <c r="AW27">
        <v>19</v>
      </c>
      <c r="AX27" t="s">
        <v>74</v>
      </c>
      <c r="AY27" t="s">
        <v>74</v>
      </c>
      <c r="AZ27" t="s">
        <v>74</v>
      </c>
      <c r="BA27" t="s">
        <v>74</v>
      </c>
      <c r="BB27">
        <v>5147</v>
      </c>
      <c r="BC27">
        <v>5158</v>
      </c>
      <c r="BD27" t="s">
        <v>74</v>
      </c>
      <c r="BE27" t="s">
        <v>517</v>
      </c>
      <c r="BF27" t="str">
        <f>HYPERLINK("http://dx.doi.org/10.5194/acp-7-5147-2007","http://dx.doi.org/10.5194/acp-7-5147-2007")</f>
        <v>http://dx.doi.org/10.5194/acp-7-5147-2007</v>
      </c>
      <c r="BG27" t="s">
        <v>74</v>
      </c>
      <c r="BH27" t="s">
        <v>74</v>
      </c>
      <c r="BI27">
        <v>12</v>
      </c>
      <c r="BJ27" t="s">
        <v>359</v>
      </c>
      <c r="BK27" t="s">
        <v>97</v>
      </c>
      <c r="BL27" t="s">
        <v>360</v>
      </c>
      <c r="BM27" t="s">
        <v>518</v>
      </c>
      <c r="BN27" t="s">
        <v>74</v>
      </c>
      <c r="BO27" t="s">
        <v>392</v>
      </c>
      <c r="BP27" t="s">
        <v>74</v>
      </c>
      <c r="BQ27" t="s">
        <v>74</v>
      </c>
      <c r="BR27" t="s">
        <v>100</v>
      </c>
      <c r="BS27" t="s">
        <v>519</v>
      </c>
      <c r="BT27" t="str">
        <f>HYPERLINK("https%3A%2F%2Fwww.webofscience.com%2Fwos%2Fwoscc%2Ffull-record%2FWOS:000251239000008","View Full Record in Web of Science")</f>
        <v>View Full Record in Web of Science</v>
      </c>
    </row>
    <row r="28" spans="1:72" x14ac:dyDescent="0.15">
      <c r="A28" t="s">
        <v>72</v>
      </c>
      <c r="B28" t="s">
        <v>520</v>
      </c>
      <c r="C28" t="s">
        <v>74</v>
      </c>
      <c r="D28" t="s">
        <v>74</v>
      </c>
      <c r="E28" t="s">
        <v>74</v>
      </c>
      <c r="F28" t="s">
        <v>521</v>
      </c>
      <c r="G28" t="s">
        <v>74</v>
      </c>
      <c r="H28" t="s">
        <v>74</v>
      </c>
      <c r="I28" t="s">
        <v>522</v>
      </c>
      <c r="J28" t="s">
        <v>342</v>
      </c>
      <c r="K28" t="s">
        <v>74</v>
      </c>
      <c r="L28" t="s">
        <v>74</v>
      </c>
      <c r="M28" t="s">
        <v>78</v>
      </c>
      <c r="N28" t="s">
        <v>79</v>
      </c>
      <c r="O28" t="s">
        <v>74</v>
      </c>
      <c r="P28" t="s">
        <v>74</v>
      </c>
      <c r="Q28" t="s">
        <v>74</v>
      </c>
      <c r="R28" t="s">
        <v>74</v>
      </c>
      <c r="S28" t="s">
        <v>74</v>
      </c>
      <c r="T28" t="s">
        <v>74</v>
      </c>
      <c r="U28" t="s">
        <v>523</v>
      </c>
      <c r="V28" t="s">
        <v>524</v>
      </c>
      <c r="W28" t="s">
        <v>525</v>
      </c>
      <c r="X28" t="s">
        <v>526</v>
      </c>
      <c r="Y28" t="s">
        <v>527</v>
      </c>
      <c r="Z28" t="s">
        <v>528</v>
      </c>
      <c r="AA28" t="s">
        <v>74</v>
      </c>
      <c r="AB28" t="s">
        <v>529</v>
      </c>
      <c r="AC28" t="s">
        <v>74</v>
      </c>
      <c r="AD28" t="s">
        <v>74</v>
      </c>
      <c r="AE28" t="s">
        <v>74</v>
      </c>
      <c r="AF28" t="s">
        <v>74</v>
      </c>
      <c r="AG28">
        <v>37</v>
      </c>
      <c r="AH28">
        <v>68</v>
      </c>
      <c r="AI28">
        <v>73</v>
      </c>
      <c r="AJ28">
        <v>0</v>
      </c>
      <c r="AK28">
        <v>10</v>
      </c>
      <c r="AL28" t="s">
        <v>351</v>
      </c>
      <c r="AM28" t="s">
        <v>352</v>
      </c>
      <c r="AN28" t="s">
        <v>353</v>
      </c>
      <c r="AO28" t="s">
        <v>354</v>
      </c>
      <c r="AP28" t="s">
        <v>355</v>
      </c>
      <c r="AQ28" t="s">
        <v>74</v>
      </c>
      <c r="AR28" t="s">
        <v>356</v>
      </c>
      <c r="AS28" t="s">
        <v>357</v>
      </c>
      <c r="AT28" t="s">
        <v>74</v>
      </c>
      <c r="AU28">
        <v>2007</v>
      </c>
      <c r="AV28">
        <v>7</v>
      </c>
      <c r="AW28">
        <v>19</v>
      </c>
      <c r="AX28" t="s">
        <v>74</v>
      </c>
      <c r="AY28" t="s">
        <v>74</v>
      </c>
      <c r="AZ28" t="s">
        <v>74</v>
      </c>
      <c r="BA28" t="s">
        <v>74</v>
      </c>
      <c r="BB28">
        <v>5207</v>
      </c>
      <c r="BC28">
        <v>5228</v>
      </c>
      <c r="BD28" t="s">
        <v>74</v>
      </c>
      <c r="BE28" t="s">
        <v>530</v>
      </c>
      <c r="BF28" t="str">
        <f>HYPERLINK("http://dx.doi.org/10.5194/acp-7-5207-2007","http://dx.doi.org/10.5194/acp-7-5207-2007")</f>
        <v>http://dx.doi.org/10.5194/acp-7-5207-2007</v>
      </c>
      <c r="BG28" t="s">
        <v>74</v>
      </c>
      <c r="BH28" t="s">
        <v>74</v>
      </c>
      <c r="BI28">
        <v>22</v>
      </c>
      <c r="BJ28" t="s">
        <v>359</v>
      </c>
      <c r="BK28" t="s">
        <v>97</v>
      </c>
      <c r="BL28" t="s">
        <v>360</v>
      </c>
      <c r="BM28" t="s">
        <v>518</v>
      </c>
      <c r="BN28" t="s">
        <v>74</v>
      </c>
      <c r="BO28" t="s">
        <v>337</v>
      </c>
      <c r="BP28" t="s">
        <v>74</v>
      </c>
      <c r="BQ28" t="s">
        <v>74</v>
      </c>
      <c r="BR28" t="s">
        <v>100</v>
      </c>
      <c r="BS28" t="s">
        <v>531</v>
      </c>
      <c r="BT28" t="str">
        <f>HYPERLINK("https%3A%2F%2Fwww.webofscience.com%2Fwos%2Fwoscc%2Ffull-record%2FWOS:000251239000012","View Full Record in Web of Science")</f>
        <v>View Full Record in Web of Science</v>
      </c>
    </row>
    <row r="29" spans="1:72" x14ac:dyDescent="0.15">
      <c r="A29" t="s">
        <v>72</v>
      </c>
      <c r="B29" t="s">
        <v>532</v>
      </c>
      <c r="C29" t="s">
        <v>74</v>
      </c>
      <c r="D29" t="s">
        <v>74</v>
      </c>
      <c r="E29" t="s">
        <v>74</v>
      </c>
      <c r="F29" t="s">
        <v>533</v>
      </c>
      <c r="G29" t="s">
        <v>74</v>
      </c>
      <c r="H29" t="s">
        <v>74</v>
      </c>
      <c r="I29" t="s">
        <v>534</v>
      </c>
      <c r="J29" t="s">
        <v>342</v>
      </c>
      <c r="K29" t="s">
        <v>74</v>
      </c>
      <c r="L29" t="s">
        <v>74</v>
      </c>
      <c r="M29" t="s">
        <v>78</v>
      </c>
      <c r="N29" t="s">
        <v>79</v>
      </c>
      <c r="O29" t="s">
        <v>74</v>
      </c>
      <c r="P29" t="s">
        <v>74</v>
      </c>
      <c r="Q29" t="s">
        <v>74</v>
      </c>
      <c r="R29" t="s">
        <v>74</v>
      </c>
      <c r="S29" t="s">
        <v>74</v>
      </c>
      <c r="T29" t="s">
        <v>74</v>
      </c>
      <c r="U29" t="s">
        <v>535</v>
      </c>
      <c r="V29" t="s">
        <v>536</v>
      </c>
      <c r="W29" t="s">
        <v>537</v>
      </c>
      <c r="X29" t="s">
        <v>538</v>
      </c>
      <c r="Y29" t="s">
        <v>539</v>
      </c>
      <c r="Z29" t="s">
        <v>540</v>
      </c>
      <c r="AA29" t="s">
        <v>541</v>
      </c>
      <c r="AB29" t="s">
        <v>542</v>
      </c>
      <c r="AC29" t="s">
        <v>74</v>
      </c>
      <c r="AD29" t="s">
        <v>74</v>
      </c>
      <c r="AE29" t="s">
        <v>74</v>
      </c>
      <c r="AF29" t="s">
        <v>74</v>
      </c>
      <c r="AG29">
        <v>22</v>
      </c>
      <c r="AH29">
        <v>22</v>
      </c>
      <c r="AI29">
        <v>25</v>
      </c>
      <c r="AJ29">
        <v>0</v>
      </c>
      <c r="AK29">
        <v>6</v>
      </c>
      <c r="AL29" t="s">
        <v>351</v>
      </c>
      <c r="AM29" t="s">
        <v>352</v>
      </c>
      <c r="AN29" t="s">
        <v>353</v>
      </c>
      <c r="AO29" t="s">
        <v>354</v>
      </c>
      <c r="AP29" t="s">
        <v>355</v>
      </c>
      <c r="AQ29" t="s">
        <v>74</v>
      </c>
      <c r="AR29" t="s">
        <v>356</v>
      </c>
      <c r="AS29" t="s">
        <v>357</v>
      </c>
      <c r="AT29" t="s">
        <v>74</v>
      </c>
      <c r="AU29">
        <v>2007</v>
      </c>
      <c r="AV29">
        <v>7</v>
      </c>
      <c r="AW29">
        <v>21</v>
      </c>
      <c r="AX29" t="s">
        <v>74</v>
      </c>
      <c r="AY29" t="s">
        <v>74</v>
      </c>
      <c r="AZ29" t="s">
        <v>74</v>
      </c>
      <c r="BA29" t="s">
        <v>74</v>
      </c>
      <c r="BB29">
        <v>5585</v>
      </c>
      <c r="BC29">
        <v>5598</v>
      </c>
      <c r="BD29" t="s">
        <v>74</v>
      </c>
      <c r="BE29" t="s">
        <v>74</v>
      </c>
      <c r="BF29" t="s">
        <v>74</v>
      </c>
      <c r="BG29" t="s">
        <v>74</v>
      </c>
      <c r="BH29" t="s">
        <v>74</v>
      </c>
      <c r="BI29">
        <v>14</v>
      </c>
      <c r="BJ29" t="s">
        <v>359</v>
      </c>
      <c r="BK29" t="s">
        <v>97</v>
      </c>
      <c r="BL29" t="s">
        <v>360</v>
      </c>
      <c r="BM29" t="s">
        <v>543</v>
      </c>
      <c r="BN29" t="s">
        <v>74</v>
      </c>
      <c r="BO29" t="s">
        <v>74</v>
      </c>
      <c r="BP29" t="s">
        <v>74</v>
      </c>
      <c r="BQ29" t="s">
        <v>74</v>
      </c>
      <c r="BR29" t="s">
        <v>100</v>
      </c>
      <c r="BS29" t="s">
        <v>544</v>
      </c>
      <c r="BT29" t="str">
        <f>HYPERLINK("https%3A%2F%2Fwww.webofscience.com%2Fwos%2Fwoscc%2Ffull-record%2FWOS:000251239500008","View Full Record in Web of Science")</f>
        <v>View Full Record in Web of Science</v>
      </c>
    </row>
    <row r="30" spans="1:72" x14ac:dyDescent="0.15">
      <c r="A30" t="s">
        <v>72</v>
      </c>
      <c r="B30" t="s">
        <v>545</v>
      </c>
      <c r="C30" t="s">
        <v>74</v>
      </c>
      <c r="D30" t="s">
        <v>74</v>
      </c>
      <c r="E30" t="s">
        <v>74</v>
      </c>
      <c r="F30" t="s">
        <v>546</v>
      </c>
      <c r="G30" t="s">
        <v>74</v>
      </c>
      <c r="H30" t="s">
        <v>74</v>
      </c>
      <c r="I30" t="s">
        <v>547</v>
      </c>
      <c r="J30" t="s">
        <v>342</v>
      </c>
      <c r="K30" t="s">
        <v>74</v>
      </c>
      <c r="L30" t="s">
        <v>74</v>
      </c>
      <c r="M30" t="s">
        <v>78</v>
      </c>
      <c r="N30" t="s">
        <v>79</v>
      </c>
      <c r="O30" t="s">
        <v>74</v>
      </c>
      <c r="P30" t="s">
        <v>74</v>
      </c>
      <c r="Q30" t="s">
        <v>74</v>
      </c>
      <c r="R30" t="s">
        <v>74</v>
      </c>
      <c r="S30" t="s">
        <v>74</v>
      </c>
      <c r="T30" t="s">
        <v>74</v>
      </c>
      <c r="U30" t="s">
        <v>548</v>
      </c>
      <c r="V30" t="s">
        <v>549</v>
      </c>
      <c r="W30" t="s">
        <v>550</v>
      </c>
      <c r="X30" t="s">
        <v>551</v>
      </c>
      <c r="Y30" t="s">
        <v>552</v>
      </c>
      <c r="Z30" t="s">
        <v>553</v>
      </c>
      <c r="AA30" t="s">
        <v>554</v>
      </c>
      <c r="AB30" t="s">
        <v>555</v>
      </c>
      <c r="AC30" t="s">
        <v>74</v>
      </c>
      <c r="AD30" t="s">
        <v>74</v>
      </c>
      <c r="AE30" t="s">
        <v>74</v>
      </c>
      <c r="AF30" t="s">
        <v>74</v>
      </c>
      <c r="AG30">
        <v>40</v>
      </c>
      <c r="AH30">
        <v>22</v>
      </c>
      <c r="AI30">
        <v>22</v>
      </c>
      <c r="AJ30">
        <v>0</v>
      </c>
      <c r="AK30">
        <v>7</v>
      </c>
      <c r="AL30" t="s">
        <v>351</v>
      </c>
      <c r="AM30" t="s">
        <v>352</v>
      </c>
      <c r="AN30" t="s">
        <v>353</v>
      </c>
      <c r="AO30" t="s">
        <v>354</v>
      </c>
      <c r="AP30" t="s">
        <v>355</v>
      </c>
      <c r="AQ30" t="s">
        <v>74</v>
      </c>
      <c r="AR30" t="s">
        <v>356</v>
      </c>
      <c r="AS30" t="s">
        <v>357</v>
      </c>
      <c r="AT30" t="s">
        <v>74</v>
      </c>
      <c r="AU30">
        <v>2007</v>
      </c>
      <c r="AV30">
        <v>7</v>
      </c>
      <c r="AW30">
        <v>21</v>
      </c>
      <c r="AX30" t="s">
        <v>74</v>
      </c>
      <c r="AY30" t="s">
        <v>74</v>
      </c>
      <c r="AZ30" t="s">
        <v>74</v>
      </c>
      <c r="BA30" t="s">
        <v>74</v>
      </c>
      <c r="BB30">
        <v>5611</v>
      </c>
      <c r="BC30">
        <v>5624</v>
      </c>
      <c r="BD30" t="s">
        <v>74</v>
      </c>
      <c r="BE30" t="s">
        <v>556</v>
      </c>
      <c r="BF30" t="str">
        <f>HYPERLINK("http://dx.doi.org/10.5194/acp-7-5611-2007","http://dx.doi.org/10.5194/acp-7-5611-2007")</f>
        <v>http://dx.doi.org/10.5194/acp-7-5611-2007</v>
      </c>
      <c r="BG30" t="s">
        <v>74</v>
      </c>
      <c r="BH30" t="s">
        <v>74</v>
      </c>
      <c r="BI30">
        <v>14</v>
      </c>
      <c r="BJ30" t="s">
        <v>359</v>
      </c>
      <c r="BK30" t="s">
        <v>97</v>
      </c>
      <c r="BL30" t="s">
        <v>360</v>
      </c>
      <c r="BM30" t="s">
        <v>543</v>
      </c>
      <c r="BN30" t="s">
        <v>74</v>
      </c>
      <c r="BO30" t="s">
        <v>392</v>
      </c>
      <c r="BP30" t="s">
        <v>74</v>
      </c>
      <c r="BQ30" t="s">
        <v>74</v>
      </c>
      <c r="BR30" t="s">
        <v>100</v>
      </c>
      <c r="BS30" t="s">
        <v>557</v>
      </c>
      <c r="BT30" t="str">
        <f>HYPERLINK("https%3A%2F%2Fwww.webofscience.com%2Fwos%2Fwoscc%2Ffull-record%2FWOS:000251239500010","View Full Record in Web of Science")</f>
        <v>View Full Record in Web of Science</v>
      </c>
    </row>
    <row r="31" spans="1:72" x14ac:dyDescent="0.15">
      <c r="A31" t="s">
        <v>72</v>
      </c>
      <c r="B31" t="s">
        <v>558</v>
      </c>
      <c r="C31" t="s">
        <v>74</v>
      </c>
      <c r="D31" t="s">
        <v>74</v>
      </c>
      <c r="E31" t="s">
        <v>74</v>
      </c>
      <c r="F31" t="s">
        <v>559</v>
      </c>
      <c r="G31" t="s">
        <v>74</v>
      </c>
      <c r="H31" t="s">
        <v>74</v>
      </c>
      <c r="I31" t="s">
        <v>560</v>
      </c>
      <c r="J31" t="s">
        <v>561</v>
      </c>
      <c r="K31" t="s">
        <v>74</v>
      </c>
      <c r="L31" t="s">
        <v>74</v>
      </c>
      <c r="M31" t="s">
        <v>78</v>
      </c>
      <c r="N31" t="s">
        <v>79</v>
      </c>
      <c r="O31" t="s">
        <v>74</v>
      </c>
      <c r="P31" t="s">
        <v>74</v>
      </c>
      <c r="Q31" t="s">
        <v>74</v>
      </c>
      <c r="R31" t="s">
        <v>74</v>
      </c>
      <c r="S31" t="s">
        <v>74</v>
      </c>
      <c r="T31" t="s">
        <v>74</v>
      </c>
      <c r="U31" t="s">
        <v>562</v>
      </c>
      <c r="V31" t="s">
        <v>563</v>
      </c>
      <c r="W31" t="s">
        <v>564</v>
      </c>
      <c r="X31" t="s">
        <v>565</v>
      </c>
      <c r="Y31" t="s">
        <v>566</v>
      </c>
      <c r="Z31" t="s">
        <v>567</v>
      </c>
      <c r="AA31" t="s">
        <v>74</v>
      </c>
      <c r="AB31" t="s">
        <v>74</v>
      </c>
      <c r="AC31" t="s">
        <v>74</v>
      </c>
      <c r="AD31" t="s">
        <v>74</v>
      </c>
      <c r="AE31" t="s">
        <v>74</v>
      </c>
      <c r="AF31" t="s">
        <v>74</v>
      </c>
      <c r="AG31">
        <v>45</v>
      </c>
      <c r="AH31">
        <v>28</v>
      </c>
      <c r="AI31">
        <v>30</v>
      </c>
      <c r="AJ31">
        <v>6</v>
      </c>
      <c r="AK31">
        <v>12</v>
      </c>
      <c r="AL31" t="s">
        <v>568</v>
      </c>
      <c r="AM31" t="s">
        <v>569</v>
      </c>
      <c r="AN31" t="s">
        <v>570</v>
      </c>
      <c r="AO31" t="s">
        <v>571</v>
      </c>
      <c r="AP31" t="s">
        <v>572</v>
      </c>
      <c r="AQ31" t="s">
        <v>74</v>
      </c>
      <c r="AR31" t="s">
        <v>573</v>
      </c>
      <c r="AS31" t="s">
        <v>574</v>
      </c>
      <c r="AT31" t="s">
        <v>74</v>
      </c>
      <c r="AU31">
        <v>2007</v>
      </c>
      <c r="AV31">
        <v>55</v>
      </c>
      <c r="AW31">
        <v>4</v>
      </c>
      <c r="AX31" t="s">
        <v>74</v>
      </c>
      <c r="AY31" t="s">
        <v>74</v>
      </c>
      <c r="AZ31" t="s">
        <v>74</v>
      </c>
      <c r="BA31" t="s">
        <v>74</v>
      </c>
      <c r="BB31">
        <v>439</v>
      </c>
      <c r="BC31">
        <v>449</v>
      </c>
      <c r="BD31" t="s">
        <v>74</v>
      </c>
      <c r="BE31" t="s">
        <v>575</v>
      </c>
      <c r="BF31" t="str">
        <f>HYPERLINK("http://dx.doi.org/10.1071/BT06169","http://dx.doi.org/10.1071/BT06169")</f>
        <v>http://dx.doi.org/10.1071/BT06169</v>
      </c>
      <c r="BG31" t="s">
        <v>74</v>
      </c>
      <c r="BH31" t="s">
        <v>74</v>
      </c>
      <c r="BI31">
        <v>11</v>
      </c>
      <c r="BJ31" t="s">
        <v>576</v>
      </c>
      <c r="BK31" t="s">
        <v>97</v>
      </c>
      <c r="BL31" t="s">
        <v>576</v>
      </c>
      <c r="BM31" t="s">
        <v>577</v>
      </c>
      <c r="BN31" t="s">
        <v>74</v>
      </c>
      <c r="BO31" t="s">
        <v>74</v>
      </c>
      <c r="BP31" t="s">
        <v>74</v>
      </c>
      <c r="BQ31" t="s">
        <v>74</v>
      </c>
      <c r="BR31" t="s">
        <v>100</v>
      </c>
      <c r="BS31" t="s">
        <v>578</v>
      </c>
      <c r="BT31" t="str">
        <f>HYPERLINK("https%3A%2F%2Fwww.webofscience.com%2Fwos%2Fwoscc%2Ffull-record%2FWOS:000247366600005","View Full Record in Web of Science")</f>
        <v>View Full Record in Web of Science</v>
      </c>
    </row>
    <row r="32" spans="1:72" x14ac:dyDescent="0.15">
      <c r="A32" t="s">
        <v>72</v>
      </c>
      <c r="B32" t="s">
        <v>579</v>
      </c>
      <c r="C32" t="s">
        <v>74</v>
      </c>
      <c r="D32" t="s">
        <v>74</v>
      </c>
      <c r="E32" t="s">
        <v>74</v>
      </c>
      <c r="F32" t="s">
        <v>580</v>
      </c>
      <c r="G32" t="s">
        <v>74</v>
      </c>
      <c r="H32" t="s">
        <v>74</v>
      </c>
      <c r="I32" t="s">
        <v>581</v>
      </c>
      <c r="J32" t="s">
        <v>582</v>
      </c>
      <c r="K32" t="s">
        <v>74</v>
      </c>
      <c r="L32" t="s">
        <v>74</v>
      </c>
      <c r="M32" t="s">
        <v>78</v>
      </c>
      <c r="N32" t="s">
        <v>79</v>
      </c>
      <c r="O32" t="s">
        <v>74</v>
      </c>
      <c r="P32" t="s">
        <v>74</v>
      </c>
      <c r="Q32" t="s">
        <v>74</v>
      </c>
      <c r="R32" t="s">
        <v>74</v>
      </c>
      <c r="S32" t="s">
        <v>74</v>
      </c>
      <c r="T32" t="s">
        <v>74</v>
      </c>
      <c r="U32" t="s">
        <v>583</v>
      </c>
      <c r="V32" t="s">
        <v>584</v>
      </c>
      <c r="W32" t="s">
        <v>585</v>
      </c>
      <c r="X32" t="s">
        <v>586</v>
      </c>
      <c r="Y32" t="s">
        <v>587</v>
      </c>
      <c r="Z32" t="s">
        <v>588</v>
      </c>
      <c r="AA32" t="s">
        <v>589</v>
      </c>
      <c r="AB32" t="s">
        <v>590</v>
      </c>
      <c r="AC32" t="s">
        <v>74</v>
      </c>
      <c r="AD32" t="s">
        <v>74</v>
      </c>
      <c r="AE32" t="s">
        <v>74</v>
      </c>
      <c r="AF32" t="s">
        <v>74</v>
      </c>
      <c r="AG32">
        <v>35</v>
      </c>
      <c r="AH32">
        <v>13</v>
      </c>
      <c r="AI32">
        <v>15</v>
      </c>
      <c r="AJ32">
        <v>3</v>
      </c>
      <c r="AK32">
        <v>16</v>
      </c>
      <c r="AL32" t="s">
        <v>568</v>
      </c>
      <c r="AM32" t="s">
        <v>569</v>
      </c>
      <c r="AN32" t="s">
        <v>570</v>
      </c>
      <c r="AO32" t="s">
        <v>591</v>
      </c>
      <c r="AP32" t="s">
        <v>592</v>
      </c>
      <c r="AQ32" t="s">
        <v>74</v>
      </c>
      <c r="AR32" t="s">
        <v>593</v>
      </c>
      <c r="AS32" t="s">
        <v>594</v>
      </c>
      <c r="AT32" t="s">
        <v>74</v>
      </c>
      <c r="AU32">
        <v>2007</v>
      </c>
      <c r="AV32">
        <v>55</v>
      </c>
      <c r="AW32">
        <v>3</v>
      </c>
      <c r="AX32" t="s">
        <v>74</v>
      </c>
      <c r="AY32" t="s">
        <v>74</v>
      </c>
      <c r="AZ32" t="s">
        <v>74</v>
      </c>
      <c r="BA32" t="s">
        <v>74</v>
      </c>
      <c r="BB32">
        <v>155</v>
      </c>
      <c r="BC32">
        <v>160</v>
      </c>
      <c r="BD32" t="s">
        <v>74</v>
      </c>
      <c r="BE32" t="s">
        <v>595</v>
      </c>
      <c r="BF32" t="str">
        <f>HYPERLINK("http://dx.doi.org/10.1071/ZO07005","http://dx.doi.org/10.1071/ZO07005")</f>
        <v>http://dx.doi.org/10.1071/ZO07005</v>
      </c>
      <c r="BG32" t="s">
        <v>74</v>
      </c>
      <c r="BH32" t="s">
        <v>74</v>
      </c>
      <c r="BI32">
        <v>6</v>
      </c>
      <c r="BJ32" t="s">
        <v>596</v>
      </c>
      <c r="BK32" t="s">
        <v>97</v>
      </c>
      <c r="BL32" t="s">
        <v>596</v>
      </c>
      <c r="BM32" t="s">
        <v>597</v>
      </c>
      <c r="BN32" t="s">
        <v>74</v>
      </c>
      <c r="BO32" t="s">
        <v>74</v>
      </c>
      <c r="BP32" t="s">
        <v>74</v>
      </c>
      <c r="BQ32" t="s">
        <v>74</v>
      </c>
      <c r="BR32" t="s">
        <v>100</v>
      </c>
      <c r="BS32" t="s">
        <v>598</v>
      </c>
      <c r="BT32" t="str">
        <f>HYPERLINK("https%3A%2F%2Fwww.webofscience.com%2Fwos%2Fwoscc%2Ffull-record%2FWOS:000247571300003","View Full Record in Web of Science")</f>
        <v>View Full Record in Web of Science</v>
      </c>
    </row>
    <row r="33" spans="1:72" x14ac:dyDescent="0.15">
      <c r="A33" t="s">
        <v>241</v>
      </c>
      <c r="B33" t="s">
        <v>599</v>
      </c>
      <c r="C33" t="s">
        <v>74</v>
      </c>
      <c r="D33" t="s">
        <v>600</v>
      </c>
      <c r="E33" t="s">
        <v>74</v>
      </c>
      <c r="F33" t="s">
        <v>601</v>
      </c>
      <c r="G33" t="s">
        <v>74</v>
      </c>
      <c r="H33" t="s">
        <v>74</v>
      </c>
      <c r="I33" t="s">
        <v>602</v>
      </c>
      <c r="J33" t="s">
        <v>603</v>
      </c>
      <c r="K33" t="s">
        <v>74</v>
      </c>
      <c r="L33" t="s">
        <v>74</v>
      </c>
      <c r="M33" t="s">
        <v>78</v>
      </c>
      <c r="N33" t="s">
        <v>248</v>
      </c>
      <c r="O33" t="s">
        <v>604</v>
      </c>
      <c r="P33" t="s">
        <v>605</v>
      </c>
      <c r="Q33" t="s">
        <v>606</v>
      </c>
      <c r="R33" t="s">
        <v>74</v>
      </c>
      <c r="S33" t="s">
        <v>74</v>
      </c>
      <c r="T33" t="s">
        <v>74</v>
      </c>
      <c r="U33" t="s">
        <v>74</v>
      </c>
      <c r="V33" t="s">
        <v>74</v>
      </c>
      <c r="W33" t="s">
        <v>607</v>
      </c>
      <c r="X33" t="s">
        <v>608</v>
      </c>
      <c r="Y33" t="s">
        <v>609</v>
      </c>
      <c r="Z33" t="s">
        <v>74</v>
      </c>
      <c r="AA33" t="s">
        <v>74</v>
      </c>
      <c r="AB33" t="s">
        <v>74</v>
      </c>
      <c r="AC33" t="s">
        <v>610</v>
      </c>
      <c r="AD33" t="s">
        <v>611</v>
      </c>
      <c r="AE33" t="s">
        <v>612</v>
      </c>
      <c r="AF33" t="s">
        <v>74</v>
      </c>
      <c r="AG33">
        <v>0</v>
      </c>
      <c r="AH33">
        <v>0</v>
      </c>
      <c r="AI33">
        <v>0</v>
      </c>
      <c r="AJ33">
        <v>0</v>
      </c>
      <c r="AK33">
        <v>3</v>
      </c>
      <c r="AL33" t="s">
        <v>613</v>
      </c>
      <c r="AM33" t="s">
        <v>614</v>
      </c>
      <c r="AN33" t="s">
        <v>615</v>
      </c>
      <c r="AO33" t="s">
        <v>74</v>
      </c>
      <c r="AP33" t="s">
        <v>74</v>
      </c>
      <c r="AQ33" t="s">
        <v>616</v>
      </c>
      <c r="AR33" t="s">
        <v>74</v>
      </c>
      <c r="AS33" t="s">
        <v>74</v>
      </c>
      <c r="AT33" t="s">
        <v>74</v>
      </c>
      <c r="AU33">
        <v>2007</v>
      </c>
      <c r="AV33" t="s">
        <v>74</v>
      </c>
      <c r="AW33" t="s">
        <v>74</v>
      </c>
      <c r="AX33" t="s">
        <v>74</v>
      </c>
      <c r="AY33" t="s">
        <v>74</v>
      </c>
      <c r="AZ33" t="s">
        <v>74</v>
      </c>
      <c r="BA33" t="s">
        <v>74</v>
      </c>
      <c r="BB33">
        <v>175</v>
      </c>
      <c r="BC33" t="s">
        <v>617</v>
      </c>
      <c r="BD33" t="s">
        <v>74</v>
      </c>
      <c r="BE33" t="s">
        <v>618</v>
      </c>
      <c r="BF33" t="str">
        <f>HYPERLINK("http://dx.doi.org/10.1007/978-1-4020-6635-1_26","http://dx.doi.org/10.1007/978-1-4020-6635-1_26")</f>
        <v>http://dx.doi.org/10.1007/978-1-4020-6635-1_26</v>
      </c>
      <c r="BG33" t="s">
        <v>74</v>
      </c>
      <c r="BH33" t="s">
        <v>74</v>
      </c>
      <c r="BI33">
        <v>2</v>
      </c>
      <c r="BJ33" t="s">
        <v>619</v>
      </c>
      <c r="BK33" t="s">
        <v>266</v>
      </c>
      <c r="BL33" t="s">
        <v>620</v>
      </c>
      <c r="BM33" t="s">
        <v>621</v>
      </c>
      <c r="BN33" t="s">
        <v>74</v>
      </c>
      <c r="BO33" t="s">
        <v>74</v>
      </c>
      <c r="BP33" t="s">
        <v>74</v>
      </c>
      <c r="BQ33" t="s">
        <v>74</v>
      </c>
      <c r="BR33" t="s">
        <v>100</v>
      </c>
      <c r="BS33" t="s">
        <v>622</v>
      </c>
      <c r="BT33" t="str">
        <f>HYPERLINK("https%3A%2F%2Fwww.webofscience.com%2Fwos%2Fwoscc%2Ffull-record%2FWOS:000252961700026","View Full Record in Web of Science")</f>
        <v>View Full Record in Web of Science</v>
      </c>
    </row>
    <row r="34" spans="1:72" x14ac:dyDescent="0.15">
      <c r="A34" t="s">
        <v>72</v>
      </c>
      <c r="B34" t="s">
        <v>623</v>
      </c>
      <c r="C34" t="s">
        <v>74</v>
      </c>
      <c r="D34" t="s">
        <v>74</v>
      </c>
      <c r="E34" t="s">
        <v>74</v>
      </c>
      <c r="F34" t="s">
        <v>624</v>
      </c>
      <c r="G34" t="s">
        <v>74</v>
      </c>
      <c r="H34" t="s">
        <v>74</v>
      </c>
      <c r="I34" t="s">
        <v>625</v>
      </c>
      <c r="J34" t="s">
        <v>626</v>
      </c>
      <c r="K34" t="s">
        <v>74</v>
      </c>
      <c r="L34" t="s">
        <v>74</v>
      </c>
      <c r="M34" t="s">
        <v>627</v>
      </c>
      <c r="N34" t="s">
        <v>79</v>
      </c>
      <c r="O34" t="s">
        <v>74</v>
      </c>
      <c r="P34" t="s">
        <v>74</v>
      </c>
      <c r="Q34" t="s">
        <v>74</v>
      </c>
      <c r="R34" t="s">
        <v>74</v>
      </c>
      <c r="S34" t="s">
        <v>74</v>
      </c>
      <c r="T34" t="s">
        <v>74</v>
      </c>
      <c r="U34" t="s">
        <v>74</v>
      </c>
      <c r="V34" t="s">
        <v>628</v>
      </c>
      <c r="W34" t="s">
        <v>629</v>
      </c>
      <c r="X34" t="s">
        <v>630</v>
      </c>
      <c r="Y34" t="s">
        <v>631</v>
      </c>
      <c r="Z34" t="s">
        <v>632</v>
      </c>
      <c r="AA34" t="s">
        <v>633</v>
      </c>
      <c r="AB34" t="s">
        <v>634</v>
      </c>
      <c r="AC34" t="s">
        <v>74</v>
      </c>
      <c r="AD34" t="s">
        <v>74</v>
      </c>
      <c r="AE34" t="s">
        <v>74</v>
      </c>
      <c r="AF34" t="s">
        <v>74</v>
      </c>
      <c r="AG34">
        <v>0</v>
      </c>
      <c r="AH34">
        <v>3</v>
      </c>
      <c r="AI34">
        <v>3</v>
      </c>
      <c r="AJ34">
        <v>0</v>
      </c>
      <c r="AK34">
        <v>0</v>
      </c>
      <c r="AL34" t="s">
        <v>635</v>
      </c>
      <c r="AM34" t="s">
        <v>636</v>
      </c>
      <c r="AN34" t="s">
        <v>637</v>
      </c>
      <c r="AO34" t="s">
        <v>638</v>
      </c>
      <c r="AP34" t="s">
        <v>639</v>
      </c>
      <c r="AQ34" t="s">
        <v>74</v>
      </c>
      <c r="AR34" t="s">
        <v>640</v>
      </c>
      <c r="AS34" t="s">
        <v>641</v>
      </c>
      <c r="AT34" t="s">
        <v>74</v>
      </c>
      <c r="AU34">
        <v>2007</v>
      </c>
      <c r="AV34">
        <v>118</v>
      </c>
      <c r="AW34">
        <v>4</v>
      </c>
      <c r="AX34" t="s">
        <v>74</v>
      </c>
      <c r="AY34" t="s">
        <v>74</v>
      </c>
      <c r="AZ34" t="s">
        <v>74</v>
      </c>
      <c r="BA34" t="s">
        <v>74</v>
      </c>
      <c r="BB34">
        <v>775</v>
      </c>
      <c r="BC34">
        <v>787</v>
      </c>
      <c r="BD34" t="s">
        <v>74</v>
      </c>
      <c r="BE34" t="s">
        <v>74</v>
      </c>
      <c r="BF34" t="s">
        <v>74</v>
      </c>
      <c r="BG34" t="s">
        <v>74</v>
      </c>
      <c r="BH34" t="s">
        <v>74</v>
      </c>
      <c r="BI34">
        <v>13</v>
      </c>
      <c r="BJ34" t="s">
        <v>642</v>
      </c>
      <c r="BK34" t="s">
        <v>643</v>
      </c>
      <c r="BL34" t="s">
        <v>642</v>
      </c>
      <c r="BM34" t="s">
        <v>644</v>
      </c>
      <c r="BN34" t="s">
        <v>74</v>
      </c>
      <c r="BO34" t="s">
        <v>74</v>
      </c>
      <c r="BP34" t="s">
        <v>74</v>
      </c>
      <c r="BQ34" t="s">
        <v>74</v>
      </c>
      <c r="BR34" t="s">
        <v>100</v>
      </c>
      <c r="BS34" t="s">
        <v>645</v>
      </c>
      <c r="BT34" t="str">
        <f>HYPERLINK("https%3A%2F%2Fwww.webofscience.com%2Fwos%2Fwoscc%2Ffull-record%2FWOS:000422348800002","View Full Record in Web of Science")</f>
        <v>View Full Record in Web of Science</v>
      </c>
    </row>
    <row r="35" spans="1:72" x14ac:dyDescent="0.15">
      <c r="A35" t="s">
        <v>72</v>
      </c>
      <c r="B35" t="s">
        <v>646</v>
      </c>
      <c r="C35" t="s">
        <v>74</v>
      </c>
      <c r="D35" t="s">
        <v>74</v>
      </c>
      <c r="E35" t="s">
        <v>74</v>
      </c>
      <c r="F35" t="s">
        <v>647</v>
      </c>
      <c r="G35" t="s">
        <v>74</v>
      </c>
      <c r="H35" t="s">
        <v>74</v>
      </c>
      <c r="I35" t="s">
        <v>648</v>
      </c>
      <c r="J35" t="s">
        <v>649</v>
      </c>
      <c r="K35" t="s">
        <v>74</v>
      </c>
      <c r="L35" t="s">
        <v>74</v>
      </c>
      <c r="M35" t="s">
        <v>78</v>
      </c>
      <c r="N35" t="s">
        <v>79</v>
      </c>
      <c r="O35" t="s">
        <v>74</v>
      </c>
      <c r="P35" t="s">
        <v>74</v>
      </c>
      <c r="Q35" t="s">
        <v>74</v>
      </c>
      <c r="R35" t="s">
        <v>74</v>
      </c>
      <c r="S35" t="s">
        <v>74</v>
      </c>
      <c r="T35" t="s">
        <v>74</v>
      </c>
      <c r="U35" t="s">
        <v>650</v>
      </c>
      <c r="V35" t="s">
        <v>651</v>
      </c>
      <c r="W35" t="s">
        <v>652</v>
      </c>
      <c r="X35" t="s">
        <v>653</v>
      </c>
      <c r="Y35" t="s">
        <v>654</v>
      </c>
      <c r="Z35" t="s">
        <v>655</v>
      </c>
      <c r="AA35" t="s">
        <v>656</v>
      </c>
      <c r="AB35" t="s">
        <v>657</v>
      </c>
      <c r="AC35" t="s">
        <v>74</v>
      </c>
      <c r="AD35" t="s">
        <v>74</v>
      </c>
      <c r="AE35" t="s">
        <v>74</v>
      </c>
      <c r="AF35" t="s">
        <v>74</v>
      </c>
      <c r="AG35">
        <v>34</v>
      </c>
      <c r="AH35">
        <v>30</v>
      </c>
      <c r="AI35">
        <v>33</v>
      </c>
      <c r="AJ35">
        <v>0</v>
      </c>
      <c r="AK35">
        <v>12</v>
      </c>
      <c r="AL35" t="s">
        <v>159</v>
      </c>
      <c r="AM35" t="s">
        <v>160</v>
      </c>
      <c r="AN35" t="s">
        <v>161</v>
      </c>
      <c r="AO35" t="s">
        <v>658</v>
      </c>
      <c r="AP35" t="s">
        <v>659</v>
      </c>
      <c r="AQ35" t="s">
        <v>74</v>
      </c>
      <c r="AR35" t="s">
        <v>649</v>
      </c>
      <c r="AS35" t="s">
        <v>660</v>
      </c>
      <c r="AT35" t="s">
        <v>661</v>
      </c>
      <c r="AU35">
        <v>2007</v>
      </c>
      <c r="AV35">
        <v>36</v>
      </c>
      <c r="AW35">
        <v>1</v>
      </c>
      <c r="AX35" t="s">
        <v>74</v>
      </c>
      <c r="AY35" t="s">
        <v>74</v>
      </c>
      <c r="AZ35" t="s">
        <v>74</v>
      </c>
      <c r="BA35" t="s">
        <v>74</v>
      </c>
      <c r="BB35">
        <v>47</v>
      </c>
      <c r="BC35">
        <v>55</v>
      </c>
      <c r="BD35" t="s">
        <v>74</v>
      </c>
      <c r="BE35" t="s">
        <v>662</v>
      </c>
      <c r="BF35" t="str">
        <f>HYPERLINK("http://dx.doi.org/10.1080/03009480600827306","http://dx.doi.org/10.1080/03009480600827306")</f>
        <v>http://dx.doi.org/10.1080/03009480600827306</v>
      </c>
      <c r="BG35" t="s">
        <v>74</v>
      </c>
      <c r="BH35" t="s">
        <v>74</v>
      </c>
      <c r="BI35">
        <v>9</v>
      </c>
      <c r="BJ35" t="s">
        <v>663</v>
      </c>
      <c r="BK35" t="s">
        <v>97</v>
      </c>
      <c r="BL35" t="s">
        <v>664</v>
      </c>
      <c r="BM35" t="s">
        <v>665</v>
      </c>
      <c r="BN35" t="s">
        <v>74</v>
      </c>
      <c r="BO35" t="s">
        <v>74</v>
      </c>
      <c r="BP35" t="s">
        <v>74</v>
      </c>
      <c r="BQ35" t="s">
        <v>74</v>
      </c>
      <c r="BR35" t="s">
        <v>100</v>
      </c>
      <c r="BS35" t="s">
        <v>666</v>
      </c>
      <c r="BT35" t="str">
        <f>HYPERLINK("https%3A%2F%2Fwww.webofscience.com%2Fwos%2Fwoscc%2Ffull-record%2FWOS:000244148600004","View Full Record in Web of Science")</f>
        <v>View Full Record in Web of Science</v>
      </c>
    </row>
    <row r="36" spans="1:72" x14ac:dyDescent="0.15">
      <c r="A36" t="s">
        <v>72</v>
      </c>
      <c r="B36" t="s">
        <v>667</v>
      </c>
      <c r="C36" t="s">
        <v>74</v>
      </c>
      <c r="D36" t="s">
        <v>74</v>
      </c>
      <c r="E36" t="s">
        <v>74</v>
      </c>
      <c r="F36" t="s">
        <v>668</v>
      </c>
      <c r="G36" t="s">
        <v>74</v>
      </c>
      <c r="H36" t="s">
        <v>74</v>
      </c>
      <c r="I36" t="s">
        <v>669</v>
      </c>
      <c r="J36" t="s">
        <v>670</v>
      </c>
      <c r="K36" t="s">
        <v>74</v>
      </c>
      <c r="L36" t="s">
        <v>74</v>
      </c>
      <c r="M36" t="s">
        <v>78</v>
      </c>
      <c r="N36" t="s">
        <v>79</v>
      </c>
      <c r="O36" t="s">
        <v>74</v>
      </c>
      <c r="P36" t="s">
        <v>74</v>
      </c>
      <c r="Q36" t="s">
        <v>74</v>
      </c>
      <c r="R36" t="s">
        <v>74</v>
      </c>
      <c r="S36" t="s">
        <v>74</v>
      </c>
      <c r="T36" t="s">
        <v>671</v>
      </c>
      <c r="U36" t="s">
        <v>672</v>
      </c>
      <c r="V36" t="s">
        <v>673</v>
      </c>
      <c r="W36" t="s">
        <v>674</v>
      </c>
      <c r="X36" t="s">
        <v>675</v>
      </c>
      <c r="Y36" t="s">
        <v>676</v>
      </c>
      <c r="Z36" t="s">
        <v>677</v>
      </c>
      <c r="AA36" t="s">
        <v>74</v>
      </c>
      <c r="AB36" t="s">
        <v>74</v>
      </c>
      <c r="AC36" t="s">
        <v>74</v>
      </c>
      <c r="AD36" t="s">
        <v>74</v>
      </c>
      <c r="AE36" t="s">
        <v>74</v>
      </c>
      <c r="AF36" t="s">
        <v>74</v>
      </c>
      <c r="AG36">
        <v>55</v>
      </c>
      <c r="AH36">
        <v>39</v>
      </c>
      <c r="AI36">
        <v>41</v>
      </c>
      <c r="AJ36">
        <v>1</v>
      </c>
      <c r="AK36">
        <v>16</v>
      </c>
      <c r="AL36" t="s">
        <v>613</v>
      </c>
      <c r="AM36" t="s">
        <v>678</v>
      </c>
      <c r="AN36" t="s">
        <v>679</v>
      </c>
      <c r="AO36" t="s">
        <v>680</v>
      </c>
      <c r="AP36" t="s">
        <v>681</v>
      </c>
      <c r="AQ36" t="s">
        <v>74</v>
      </c>
      <c r="AR36" t="s">
        <v>682</v>
      </c>
      <c r="AS36" t="s">
        <v>683</v>
      </c>
      <c r="AT36" t="s">
        <v>661</v>
      </c>
      <c r="AU36">
        <v>2007</v>
      </c>
      <c r="AV36">
        <v>69</v>
      </c>
      <c r="AW36">
        <v>3</v>
      </c>
      <c r="AX36" t="s">
        <v>74</v>
      </c>
      <c r="AY36" t="s">
        <v>74</v>
      </c>
      <c r="AZ36" t="s">
        <v>74</v>
      </c>
      <c r="BA36" t="s">
        <v>74</v>
      </c>
      <c r="BB36">
        <v>301</v>
      </c>
      <c r="BC36">
        <v>318</v>
      </c>
      <c r="BD36" t="s">
        <v>74</v>
      </c>
      <c r="BE36" t="s">
        <v>684</v>
      </c>
      <c r="BF36" t="str">
        <f>HYPERLINK("http://dx.doi.org/10.1007/s00445-006-0075-4","http://dx.doi.org/10.1007/s00445-006-0075-4")</f>
        <v>http://dx.doi.org/10.1007/s00445-006-0075-4</v>
      </c>
      <c r="BG36" t="s">
        <v>74</v>
      </c>
      <c r="BH36" t="s">
        <v>74</v>
      </c>
      <c r="BI36">
        <v>18</v>
      </c>
      <c r="BJ36" t="s">
        <v>685</v>
      </c>
      <c r="BK36" t="s">
        <v>97</v>
      </c>
      <c r="BL36" t="s">
        <v>642</v>
      </c>
      <c r="BM36" t="s">
        <v>686</v>
      </c>
      <c r="BN36" t="s">
        <v>74</v>
      </c>
      <c r="BO36" t="s">
        <v>74</v>
      </c>
      <c r="BP36" t="s">
        <v>74</v>
      </c>
      <c r="BQ36" t="s">
        <v>74</v>
      </c>
      <c r="BR36" t="s">
        <v>100</v>
      </c>
      <c r="BS36" t="s">
        <v>687</v>
      </c>
      <c r="BT36" t="str">
        <f>HYPERLINK("https%3A%2F%2Fwww.webofscience.com%2Fwos%2Fwoscc%2Ffull-record%2FWOS:000243904000005","View Full Record in Web of Science")</f>
        <v>View Full Record in Web of Science</v>
      </c>
    </row>
    <row r="37" spans="1:72" x14ac:dyDescent="0.15">
      <c r="A37" t="s">
        <v>241</v>
      </c>
      <c r="B37" t="s">
        <v>688</v>
      </c>
      <c r="C37" t="s">
        <v>74</v>
      </c>
      <c r="D37" t="s">
        <v>689</v>
      </c>
      <c r="E37" t="s">
        <v>74</v>
      </c>
      <c r="F37" t="s">
        <v>690</v>
      </c>
      <c r="G37" t="s">
        <v>74</v>
      </c>
      <c r="H37" t="s">
        <v>691</v>
      </c>
      <c r="I37" t="s">
        <v>692</v>
      </c>
      <c r="J37" t="s">
        <v>693</v>
      </c>
      <c r="K37" t="s">
        <v>694</v>
      </c>
      <c r="L37" t="s">
        <v>74</v>
      </c>
      <c r="M37" t="s">
        <v>78</v>
      </c>
      <c r="N37" t="s">
        <v>248</v>
      </c>
      <c r="O37" t="s">
        <v>695</v>
      </c>
      <c r="P37" t="s">
        <v>696</v>
      </c>
      <c r="Q37" t="s">
        <v>697</v>
      </c>
      <c r="R37" t="s">
        <v>74</v>
      </c>
      <c r="S37" t="s">
        <v>74</v>
      </c>
      <c r="T37" t="s">
        <v>74</v>
      </c>
      <c r="U37" t="s">
        <v>698</v>
      </c>
      <c r="V37" t="s">
        <v>699</v>
      </c>
      <c r="W37" t="s">
        <v>700</v>
      </c>
      <c r="X37" t="s">
        <v>701</v>
      </c>
      <c r="Y37" t="s">
        <v>702</v>
      </c>
      <c r="Z37" t="s">
        <v>74</v>
      </c>
      <c r="AA37" t="s">
        <v>703</v>
      </c>
      <c r="AB37" t="s">
        <v>74</v>
      </c>
      <c r="AC37" t="s">
        <v>74</v>
      </c>
      <c r="AD37" t="s">
        <v>74</v>
      </c>
      <c r="AE37" t="s">
        <v>74</v>
      </c>
      <c r="AF37" t="s">
        <v>74</v>
      </c>
      <c r="AG37">
        <v>17</v>
      </c>
      <c r="AH37">
        <v>2</v>
      </c>
      <c r="AI37">
        <v>2</v>
      </c>
      <c r="AJ37">
        <v>0</v>
      </c>
      <c r="AK37">
        <v>1</v>
      </c>
      <c r="AL37" t="s">
        <v>704</v>
      </c>
      <c r="AM37" t="s">
        <v>705</v>
      </c>
      <c r="AN37" t="s">
        <v>706</v>
      </c>
      <c r="AO37" t="s">
        <v>707</v>
      </c>
      <c r="AP37" t="s">
        <v>74</v>
      </c>
      <c r="AQ37" t="s">
        <v>708</v>
      </c>
      <c r="AR37" t="s">
        <v>709</v>
      </c>
      <c r="AS37" t="s">
        <v>74</v>
      </c>
      <c r="AT37" t="s">
        <v>74</v>
      </c>
      <c r="AU37">
        <v>2007</v>
      </c>
      <c r="AV37">
        <v>928</v>
      </c>
      <c r="AW37" t="s">
        <v>74</v>
      </c>
      <c r="AX37" t="s">
        <v>74</v>
      </c>
      <c r="AY37" t="s">
        <v>74</v>
      </c>
      <c r="AZ37" t="s">
        <v>74</v>
      </c>
      <c r="BA37" t="s">
        <v>74</v>
      </c>
      <c r="BB37">
        <v>69</v>
      </c>
      <c r="BC37">
        <v>76</v>
      </c>
      <c r="BD37" t="s">
        <v>74</v>
      </c>
      <c r="BE37" t="s">
        <v>74</v>
      </c>
      <c r="BF37" t="s">
        <v>74</v>
      </c>
      <c r="BG37" t="s">
        <v>74</v>
      </c>
      <c r="BH37" t="s">
        <v>74</v>
      </c>
      <c r="BI37">
        <v>8</v>
      </c>
      <c r="BJ37" t="s">
        <v>710</v>
      </c>
      <c r="BK37" t="s">
        <v>266</v>
      </c>
      <c r="BL37" t="s">
        <v>267</v>
      </c>
      <c r="BM37" t="s">
        <v>711</v>
      </c>
      <c r="BN37" t="s">
        <v>74</v>
      </c>
      <c r="BO37" t="s">
        <v>74</v>
      </c>
      <c r="BP37" t="s">
        <v>74</v>
      </c>
      <c r="BQ37" t="s">
        <v>74</v>
      </c>
      <c r="BR37" t="s">
        <v>100</v>
      </c>
      <c r="BS37" t="s">
        <v>712</v>
      </c>
      <c r="BT37" t="str">
        <f>HYPERLINK("https%3A%2F%2Fwww.webofscience.com%2Fwos%2Fwoscc%2Ffull-record%2FWOS:000250106600009","View Full Record in Web of Science")</f>
        <v>View Full Record in Web of Science</v>
      </c>
    </row>
    <row r="38" spans="1:72" x14ac:dyDescent="0.15">
      <c r="A38" t="s">
        <v>72</v>
      </c>
      <c r="B38" t="s">
        <v>713</v>
      </c>
      <c r="C38" t="s">
        <v>74</v>
      </c>
      <c r="D38" t="s">
        <v>74</v>
      </c>
      <c r="E38" t="s">
        <v>74</v>
      </c>
      <c r="F38" t="s">
        <v>714</v>
      </c>
      <c r="G38" t="s">
        <v>74</v>
      </c>
      <c r="H38" t="s">
        <v>74</v>
      </c>
      <c r="I38" t="s">
        <v>715</v>
      </c>
      <c r="J38" t="s">
        <v>716</v>
      </c>
      <c r="K38" t="s">
        <v>74</v>
      </c>
      <c r="L38" t="s">
        <v>74</v>
      </c>
      <c r="M38" t="s">
        <v>78</v>
      </c>
      <c r="N38" t="s">
        <v>79</v>
      </c>
      <c r="O38" t="s">
        <v>74</v>
      </c>
      <c r="P38" t="s">
        <v>74</v>
      </c>
      <c r="Q38" t="s">
        <v>74</v>
      </c>
      <c r="R38" t="s">
        <v>74</v>
      </c>
      <c r="S38" t="s">
        <v>74</v>
      </c>
      <c r="T38" t="s">
        <v>74</v>
      </c>
      <c r="U38" t="s">
        <v>717</v>
      </c>
      <c r="V38" t="s">
        <v>718</v>
      </c>
      <c r="W38" t="s">
        <v>719</v>
      </c>
      <c r="X38" t="s">
        <v>720</v>
      </c>
      <c r="Y38" t="s">
        <v>721</v>
      </c>
      <c r="Z38" t="s">
        <v>722</v>
      </c>
      <c r="AA38" t="s">
        <v>723</v>
      </c>
      <c r="AB38" t="s">
        <v>724</v>
      </c>
      <c r="AC38" t="s">
        <v>74</v>
      </c>
      <c r="AD38" t="s">
        <v>74</v>
      </c>
      <c r="AE38" t="s">
        <v>74</v>
      </c>
      <c r="AF38" t="s">
        <v>74</v>
      </c>
      <c r="AG38">
        <v>52</v>
      </c>
      <c r="AH38">
        <v>29</v>
      </c>
      <c r="AI38">
        <v>38</v>
      </c>
      <c r="AJ38">
        <v>0</v>
      </c>
      <c r="AK38">
        <v>23</v>
      </c>
      <c r="AL38" t="s">
        <v>725</v>
      </c>
      <c r="AM38" t="s">
        <v>726</v>
      </c>
      <c r="AN38" t="s">
        <v>727</v>
      </c>
      <c r="AO38" t="s">
        <v>728</v>
      </c>
      <c r="AP38" t="s">
        <v>74</v>
      </c>
      <c r="AQ38" t="s">
        <v>74</v>
      </c>
      <c r="AR38" t="s">
        <v>729</v>
      </c>
      <c r="AS38" t="s">
        <v>730</v>
      </c>
      <c r="AT38" t="s">
        <v>661</v>
      </c>
      <c r="AU38">
        <v>2007</v>
      </c>
      <c r="AV38">
        <v>85</v>
      </c>
      <c r="AW38">
        <v>1</v>
      </c>
      <c r="AX38" t="s">
        <v>74</v>
      </c>
      <c r="AY38" t="s">
        <v>74</v>
      </c>
      <c r="AZ38" t="s">
        <v>74</v>
      </c>
      <c r="BA38" t="s">
        <v>74</v>
      </c>
      <c r="BB38">
        <v>1</v>
      </c>
      <c r="BC38">
        <v>15</v>
      </c>
      <c r="BD38" t="s">
        <v>74</v>
      </c>
      <c r="BE38" t="s">
        <v>731</v>
      </c>
      <c r="BF38" t="str">
        <f>HYPERLINK("http://dx.doi.org/10.1139/Z06-174","http://dx.doi.org/10.1139/Z06-174")</f>
        <v>http://dx.doi.org/10.1139/Z06-174</v>
      </c>
      <c r="BG38" t="s">
        <v>74</v>
      </c>
      <c r="BH38" t="s">
        <v>74</v>
      </c>
      <c r="BI38">
        <v>15</v>
      </c>
      <c r="BJ38" t="s">
        <v>596</v>
      </c>
      <c r="BK38" t="s">
        <v>97</v>
      </c>
      <c r="BL38" t="s">
        <v>596</v>
      </c>
      <c r="BM38" t="s">
        <v>732</v>
      </c>
      <c r="BN38" t="s">
        <v>74</v>
      </c>
      <c r="BO38" t="s">
        <v>74</v>
      </c>
      <c r="BP38" t="s">
        <v>74</v>
      </c>
      <c r="BQ38" t="s">
        <v>74</v>
      </c>
      <c r="BR38" t="s">
        <v>100</v>
      </c>
      <c r="BS38" t="s">
        <v>733</v>
      </c>
      <c r="BT38" t="str">
        <f>HYPERLINK("https%3A%2F%2Fwww.webofscience.com%2Fwos%2Fwoscc%2Ffull-record%2FWOS:000245177400001","View Full Record in Web of Science")</f>
        <v>View Full Record in Web of Science</v>
      </c>
    </row>
    <row r="39" spans="1:72" x14ac:dyDescent="0.15">
      <c r="A39" t="s">
        <v>72</v>
      </c>
      <c r="B39" t="s">
        <v>734</v>
      </c>
      <c r="C39" t="s">
        <v>74</v>
      </c>
      <c r="D39" t="s">
        <v>74</v>
      </c>
      <c r="E39" t="s">
        <v>74</v>
      </c>
      <c r="F39" t="s">
        <v>735</v>
      </c>
      <c r="G39" t="s">
        <v>74</v>
      </c>
      <c r="H39" t="s">
        <v>74</v>
      </c>
      <c r="I39" t="s">
        <v>736</v>
      </c>
      <c r="J39" t="s">
        <v>737</v>
      </c>
      <c r="K39" t="s">
        <v>74</v>
      </c>
      <c r="L39" t="s">
        <v>74</v>
      </c>
      <c r="M39" t="s">
        <v>78</v>
      </c>
      <c r="N39" t="s">
        <v>79</v>
      </c>
      <c r="O39" t="s">
        <v>74</v>
      </c>
      <c r="P39" t="s">
        <v>74</v>
      </c>
      <c r="Q39" t="s">
        <v>74</v>
      </c>
      <c r="R39" t="s">
        <v>74</v>
      </c>
      <c r="S39" t="s">
        <v>74</v>
      </c>
      <c r="T39" t="s">
        <v>738</v>
      </c>
      <c r="U39" t="s">
        <v>739</v>
      </c>
      <c r="V39" t="s">
        <v>740</v>
      </c>
      <c r="W39" t="s">
        <v>741</v>
      </c>
      <c r="X39" t="s">
        <v>742</v>
      </c>
      <c r="Y39" t="s">
        <v>743</v>
      </c>
      <c r="Z39" t="s">
        <v>744</v>
      </c>
      <c r="AA39" t="s">
        <v>745</v>
      </c>
      <c r="AB39" t="s">
        <v>746</v>
      </c>
      <c r="AC39" t="s">
        <v>74</v>
      </c>
      <c r="AD39" t="s">
        <v>74</v>
      </c>
      <c r="AE39" t="s">
        <v>74</v>
      </c>
      <c r="AF39" t="s">
        <v>74</v>
      </c>
      <c r="AG39">
        <v>22</v>
      </c>
      <c r="AH39">
        <v>53</v>
      </c>
      <c r="AI39">
        <v>56</v>
      </c>
      <c r="AJ39">
        <v>0</v>
      </c>
      <c r="AK39">
        <v>13</v>
      </c>
      <c r="AL39" t="s">
        <v>747</v>
      </c>
      <c r="AM39" t="s">
        <v>748</v>
      </c>
      <c r="AN39" t="s">
        <v>749</v>
      </c>
      <c r="AO39" t="s">
        <v>750</v>
      </c>
      <c r="AP39" t="s">
        <v>74</v>
      </c>
      <c r="AQ39" t="s">
        <v>74</v>
      </c>
      <c r="AR39" t="s">
        <v>751</v>
      </c>
      <c r="AS39" t="s">
        <v>752</v>
      </c>
      <c r="AT39" t="s">
        <v>74</v>
      </c>
      <c r="AU39">
        <v>2007</v>
      </c>
      <c r="AV39">
        <v>14</v>
      </c>
      <c r="AW39" t="s">
        <v>74</v>
      </c>
      <c r="AX39" t="s">
        <v>74</v>
      </c>
      <c r="AY39" t="s">
        <v>74</v>
      </c>
      <c r="AZ39" t="s">
        <v>74</v>
      </c>
      <c r="BA39" t="s">
        <v>74</v>
      </c>
      <c r="BB39">
        <v>1</v>
      </c>
      <c r="BC39">
        <v>25</v>
      </c>
      <c r="BD39" t="s">
        <v>74</v>
      </c>
      <c r="BE39" t="s">
        <v>74</v>
      </c>
      <c r="BF39" t="s">
        <v>74</v>
      </c>
      <c r="BG39" t="s">
        <v>74</v>
      </c>
      <c r="BH39" t="s">
        <v>74</v>
      </c>
      <c r="BI39">
        <v>25</v>
      </c>
      <c r="BJ39" t="s">
        <v>753</v>
      </c>
      <c r="BK39" t="s">
        <v>97</v>
      </c>
      <c r="BL39" t="s">
        <v>753</v>
      </c>
      <c r="BM39" t="s">
        <v>754</v>
      </c>
      <c r="BN39" t="s">
        <v>74</v>
      </c>
      <c r="BO39" t="s">
        <v>74</v>
      </c>
      <c r="BP39" t="s">
        <v>74</v>
      </c>
      <c r="BQ39" t="s">
        <v>74</v>
      </c>
      <c r="BR39" t="s">
        <v>100</v>
      </c>
      <c r="BS39" t="s">
        <v>755</v>
      </c>
      <c r="BT39" t="str">
        <f>HYPERLINK("https%3A%2F%2Fwww.webofscience.com%2Fwos%2Fwoscc%2Ffull-record%2FWOS:000251043400001","View Full Record in Web of Science")</f>
        <v>View Full Record in Web of Science</v>
      </c>
    </row>
    <row r="40" spans="1:72" x14ac:dyDescent="0.15">
      <c r="A40" t="s">
        <v>72</v>
      </c>
      <c r="B40" t="s">
        <v>756</v>
      </c>
      <c r="C40" t="s">
        <v>74</v>
      </c>
      <c r="D40" t="s">
        <v>74</v>
      </c>
      <c r="E40" t="s">
        <v>74</v>
      </c>
      <c r="F40" t="s">
        <v>757</v>
      </c>
      <c r="G40" t="s">
        <v>74</v>
      </c>
      <c r="H40" t="s">
        <v>74</v>
      </c>
      <c r="I40" t="s">
        <v>758</v>
      </c>
      <c r="J40" t="s">
        <v>737</v>
      </c>
      <c r="K40" t="s">
        <v>74</v>
      </c>
      <c r="L40" t="s">
        <v>74</v>
      </c>
      <c r="M40" t="s">
        <v>78</v>
      </c>
      <c r="N40" t="s">
        <v>79</v>
      </c>
      <c r="O40" t="s">
        <v>74</v>
      </c>
      <c r="P40" t="s">
        <v>74</v>
      </c>
      <c r="Q40" t="s">
        <v>74</v>
      </c>
      <c r="R40" t="s">
        <v>74</v>
      </c>
      <c r="S40" t="s">
        <v>74</v>
      </c>
      <c r="T40" t="s">
        <v>759</v>
      </c>
      <c r="U40" t="s">
        <v>760</v>
      </c>
      <c r="V40" t="s">
        <v>761</v>
      </c>
      <c r="W40" t="s">
        <v>762</v>
      </c>
      <c r="X40" t="s">
        <v>763</v>
      </c>
      <c r="Y40" t="s">
        <v>764</v>
      </c>
      <c r="Z40" t="s">
        <v>765</v>
      </c>
      <c r="AA40" t="s">
        <v>766</v>
      </c>
      <c r="AB40" t="s">
        <v>767</v>
      </c>
      <c r="AC40" t="s">
        <v>74</v>
      </c>
      <c r="AD40" t="s">
        <v>74</v>
      </c>
      <c r="AE40" t="s">
        <v>74</v>
      </c>
      <c r="AF40" t="s">
        <v>74</v>
      </c>
      <c r="AG40">
        <v>34</v>
      </c>
      <c r="AH40">
        <v>28</v>
      </c>
      <c r="AI40">
        <v>29</v>
      </c>
      <c r="AJ40">
        <v>1</v>
      </c>
      <c r="AK40">
        <v>14</v>
      </c>
      <c r="AL40" t="s">
        <v>747</v>
      </c>
      <c r="AM40" t="s">
        <v>748</v>
      </c>
      <c r="AN40" t="s">
        <v>749</v>
      </c>
      <c r="AO40" t="s">
        <v>750</v>
      </c>
      <c r="AP40" t="s">
        <v>74</v>
      </c>
      <c r="AQ40" t="s">
        <v>74</v>
      </c>
      <c r="AR40" t="s">
        <v>751</v>
      </c>
      <c r="AS40" t="s">
        <v>752</v>
      </c>
      <c r="AT40" t="s">
        <v>74</v>
      </c>
      <c r="AU40">
        <v>2007</v>
      </c>
      <c r="AV40">
        <v>14</v>
      </c>
      <c r="AW40" t="s">
        <v>74</v>
      </c>
      <c r="AX40" t="s">
        <v>74</v>
      </c>
      <c r="AY40" t="s">
        <v>74</v>
      </c>
      <c r="AZ40" t="s">
        <v>74</v>
      </c>
      <c r="BA40" t="s">
        <v>74</v>
      </c>
      <c r="BB40">
        <v>27</v>
      </c>
      <c r="BC40">
        <v>41</v>
      </c>
      <c r="BD40" t="s">
        <v>74</v>
      </c>
      <c r="BE40" t="s">
        <v>74</v>
      </c>
      <c r="BF40" t="s">
        <v>74</v>
      </c>
      <c r="BG40" t="s">
        <v>74</v>
      </c>
      <c r="BH40" t="s">
        <v>74</v>
      </c>
      <c r="BI40">
        <v>15</v>
      </c>
      <c r="BJ40" t="s">
        <v>753</v>
      </c>
      <c r="BK40" t="s">
        <v>97</v>
      </c>
      <c r="BL40" t="s">
        <v>753</v>
      </c>
      <c r="BM40" t="s">
        <v>754</v>
      </c>
      <c r="BN40" t="s">
        <v>74</v>
      </c>
      <c r="BO40" t="s">
        <v>74</v>
      </c>
      <c r="BP40" t="s">
        <v>74</v>
      </c>
      <c r="BQ40" t="s">
        <v>74</v>
      </c>
      <c r="BR40" t="s">
        <v>100</v>
      </c>
      <c r="BS40" t="s">
        <v>768</v>
      </c>
      <c r="BT40" t="str">
        <f>HYPERLINK("https%3A%2F%2Fwww.webofscience.com%2Fwos%2Fwoscc%2Ffull-record%2FWOS:000251043400002","View Full Record in Web of Science")</f>
        <v>View Full Record in Web of Science</v>
      </c>
    </row>
    <row r="41" spans="1:72" x14ac:dyDescent="0.15">
      <c r="A41" t="s">
        <v>72</v>
      </c>
      <c r="B41" t="s">
        <v>769</v>
      </c>
      <c r="C41" t="s">
        <v>74</v>
      </c>
      <c r="D41" t="s">
        <v>74</v>
      </c>
      <c r="E41" t="s">
        <v>74</v>
      </c>
      <c r="F41" t="s">
        <v>770</v>
      </c>
      <c r="G41" t="s">
        <v>74</v>
      </c>
      <c r="H41" t="s">
        <v>74</v>
      </c>
      <c r="I41" t="s">
        <v>771</v>
      </c>
      <c r="J41" t="s">
        <v>737</v>
      </c>
      <c r="K41" t="s">
        <v>74</v>
      </c>
      <c r="L41" t="s">
        <v>74</v>
      </c>
      <c r="M41" t="s">
        <v>78</v>
      </c>
      <c r="N41" t="s">
        <v>79</v>
      </c>
      <c r="O41" t="s">
        <v>74</v>
      </c>
      <c r="P41" t="s">
        <v>74</v>
      </c>
      <c r="Q41" t="s">
        <v>74</v>
      </c>
      <c r="R41" t="s">
        <v>74</v>
      </c>
      <c r="S41" t="s">
        <v>74</v>
      </c>
      <c r="T41" t="s">
        <v>772</v>
      </c>
      <c r="U41" t="s">
        <v>773</v>
      </c>
      <c r="V41" t="s">
        <v>774</v>
      </c>
      <c r="W41" t="s">
        <v>775</v>
      </c>
      <c r="X41" t="s">
        <v>776</v>
      </c>
      <c r="Y41" t="s">
        <v>777</v>
      </c>
      <c r="Z41" t="s">
        <v>778</v>
      </c>
      <c r="AA41" t="s">
        <v>74</v>
      </c>
      <c r="AB41" t="s">
        <v>74</v>
      </c>
      <c r="AC41" t="s">
        <v>74</v>
      </c>
      <c r="AD41" t="s">
        <v>74</v>
      </c>
      <c r="AE41" t="s">
        <v>74</v>
      </c>
      <c r="AF41" t="s">
        <v>74</v>
      </c>
      <c r="AG41">
        <v>33</v>
      </c>
      <c r="AH41">
        <v>18</v>
      </c>
      <c r="AI41">
        <v>18</v>
      </c>
      <c r="AJ41">
        <v>2</v>
      </c>
      <c r="AK41">
        <v>12</v>
      </c>
      <c r="AL41" t="s">
        <v>747</v>
      </c>
      <c r="AM41" t="s">
        <v>748</v>
      </c>
      <c r="AN41" t="s">
        <v>749</v>
      </c>
      <c r="AO41" t="s">
        <v>750</v>
      </c>
      <c r="AP41" t="s">
        <v>74</v>
      </c>
      <c r="AQ41" t="s">
        <v>74</v>
      </c>
      <c r="AR41" t="s">
        <v>751</v>
      </c>
      <c r="AS41" t="s">
        <v>752</v>
      </c>
      <c r="AT41" t="s">
        <v>74</v>
      </c>
      <c r="AU41">
        <v>2007</v>
      </c>
      <c r="AV41">
        <v>14</v>
      </c>
      <c r="AW41" t="s">
        <v>74</v>
      </c>
      <c r="AX41" t="s">
        <v>74</v>
      </c>
      <c r="AY41" t="s">
        <v>74</v>
      </c>
      <c r="AZ41" t="s">
        <v>74</v>
      </c>
      <c r="BA41" t="s">
        <v>74</v>
      </c>
      <c r="BB41">
        <v>43</v>
      </c>
      <c r="BC41">
        <v>66</v>
      </c>
      <c r="BD41" t="s">
        <v>74</v>
      </c>
      <c r="BE41" t="s">
        <v>74</v>
      </c>
      <c r="BF41" t="s">
        <v>74</v>
      </c>
      <c r="BG41" t="s">
        <v>74</v>
      </c>
      <c r="BH41" t="s">
        <v>74</v>
      </c>
      <c r="BI41">
        <v>24</v>
      </c>
      <c r="BJ41" t="s">
        <v>753</v>
      </c>
      <c r="BK41" t="s">
        <v>97</v>
      </c>
      <c r="BL41" t="s">
        <v>753</v>
      </c>
      <c r="BM41" t="s">
        <v>754</v>
      </c>
      <c r="BN41" t="s">
        <v>74</v>
      </c>
      <c r="BO41" t="s">
        <v>74</v>
      </c>
      <c r="BP41" t="s">
        <v>74</v>
      </c>
      <c r="BQ41" t="s">
        <v>74</v>
      </c>
      <c r="BR41" t="s">
        <v>100</v>
      </c>
      <c r="BS41" t="s">
        <v>779</v>
      </c>
      <c r="BT41" t="str">
        <f>HYPERLINK("https%3A%2F%2Fwww.webofscience.com%2Fwos%2Fwoscc%2Ffull-record%2FWOS:000251043400003","View Full Record in Web of Science")</f>
        <v>View Full Record in Web of Science</v>
      </c>
    </row>
    <row r="42" spans="1:72" x14ac:dyDescent="0.15">
      <c r="A42" t="s">
        <v>241</v>
      </c>
      <c r="B42" t="s">
        <v>780</v>
      </c>
      <c r="C42" t="s">
        <v>74</v>
      </c>
      <c r="D42" t="s">
        <v>781</v>
      </c>
      <c r="E42" t="s">
        <v>74</v>
      </c>
      <c r="F42" t="s">
        <v>782</v>
      </c>
      <c r="G42" t="s">
        <v>74</v>
      </c>
      <c r="H42" t="s">
        <v>74</v>
      </c>
      <c r="I42" t="s">
        <v>783</v>
      </c>
      <c r="J42" t="s">
        <v>784</v>
      </c>
      <c r="K42" t="s">
        <v>785</v>
      </c>
      <c r="L42" t="s">
        <v>74</v>
      </c>
      <c r="M42" t="s">
        <v>78</v>
      </c>
      <c r="N42" t="s">
        <v>248</v>
      </c>
      <c r="O42" t="s">
        <v>786</v>
      </c>
      <c r="P42" t="s">
        <v>787</v>
      </c>
      <c r="Q42" t="s">
        <v>788</v>
      </c>
      <c r="R42" t="s">
        <v>74</v>
      </c>
      <c r="S42" t="s">
        <v>789</v>
      </c>
      <c r="T42" t="s">
        <v>74</v>
      </c>
      <c r="U42" t="s">
        <v>790</v>
      </c>
      <c r="V42" t="s">
        <v>791</v>
      </c>
      <c r="W42" t="s">
        <v>792</v>
      </c>
      <c r="X42" t="s">
        <v>793</v>
      </c>
      <c r="Y42" t="s">
        <v>794</v>
      </c>
      <c r="Z42" t="s">
        <v>74</v>
      </c>
      <c r="AA42" t="s">
        <v>74</v>
      </c>
      <c r="AB42" t="s">
        <v>795</v>
      </c>
      <c r="AC42" t="s">
        <v>74</v>
      </c>
      <c r="AD42" t="s">
        <v>74</v>
      </c>
      <c r="AE42" t="s">
        <v>74</v>
      </c>
      <c r="AF42" t="s">
        <v>74</v>
      </c>
      <c r="AG42">
        <v>36</v>
      </c>
      <c r="AH42">
        <v>0</v>
      </c>
      <c r="AI42">
        <v>0</v>
      </c>
      <c r="AJ42">
        <v>0</v>
      </c>
      <c r="AK42">
        <v>0</v>
      </c>
      <c r="AL42" t="s">
        <v>796</v>
      </c>
      <c r="AM42" t="s">
        <v>797</v>
      </c>
      <c r="AN42" t="s">
        <v>798</v>
      </c>
      <c r="AO42" t="s">
        <v>74</v>
      </c>
      <c r="AP42" t="s">
        <v>74</v>
      </c>
      <c r="AQ42" t="s">
        <v>799</v>
      </c>
      <c r="AR42" t="s">
        <v>800</v>
      </c>
      <c r="AS42" t="s">
        <v>74</v>
      </c>
      <c r="AT42" t="s">
        <v>74</v>
      </c>
      <c r="AU42">
        <v>2007</v>
      </c>
      <c r="AV42">
        <v>373</v>
      </c>
      <c r="AW42" t="s">
        <v>74</v>
      </c>
      <c r="AX42" t="s">
        <v>74</v>
      </c>
      <c r="AY42" t="s">
        <v>74</v>
      </c>
      <c r="AZ42" t="s">
        <v>74</v>
      </c>
      <c r="BA42" t="s">
        <v>74</v>
      </c>
      <c r="BB42">
        <v>697</v>
      </c>
      <c r="BC42">
        <v>706</v>
      </c>
      <c r="BD42" t="s">
        <v>74</v>
      </c>
      <c r="BE42" t="s">
        <v>74</v>
      </c>
      <c r="BF42" t="s">
        <v>74</v>
      </c>
      <c r="BG42" t="s">
        <v>74</v>
      </c>
      <c r="BH42" t="s">
        <v>74</v>
      </c>
      <c r="BI42">
        <v>10</v>
      </c>
      <c r="BJ42" t="s">
        <v>801</v>
      </c>
      <c r="BK42" t="s">
        <v>266</v>
      </c>
      <c r="BL42" t="s">
        <v>801</v>
      </c>
      <c r="BM42" t="s">
        <v>802</v>
      </c>
      <c r="BN42" t="s">
        <v>74</v>
      </c>
      <c r="BO42" t="s">
        <v>74</v>
      </c>
      <c r="BP42" t="s">
        <v>74</v>
      </c>
      <c r="BQ42" t="s">
        <v>74</v>
      </c>
      <c r="BR42" t="s">
        <v>100</v>
      </c>
      <c r="BS42" t="s">
        <v>803</v>
      </c>
      <c r="BT42" t="str">
        <f>HYPERLINK("https%3A%2F%2Fwww.webofscience.com%2Fwos%2Fwoscc%2Ffull-record%2FWOS:000251450500176","View Full Record in Web of Science")</f>
        <v>View Full Record in Web of Science</v>
      </c>
    </row>
    <row r="43" spans="1:72" x14ac:dyDescent="0.15">
      <c r="A43" t="s">
        <v>72</v>
      </c>
      <c r="B43" t="s">
        <v>804</v>
      </c>
      <c r="C43" t="s">
        <v>74</v>
      </c>
      <c r="D43" t="s">
        <v>74</v>
      </c>
      <c r="E43" t="s">
        <v>74</v>
      </c>
      <c r="F43" t="s">
        <v>805</v>
      </c>
      <c r="G43" t="s">
        <v>74</v>
      </c>
      <c r="H43" t="s">
        <v>74</v>
      </c>
      <c r="I43" t="s">
        <v>806</v>
      </c>
      <c r="J43" t="s">
        <v>807</v>
      </c>
      <c r="K43" t="s">
        <v>74</v>
      </c>
      <c r="L43" t="s">
        <v>74</v>
      </c>
      <c r="M43" t="s">
        <v>78</v>
      </c>
      <c r="N43" t="s">
        <v>79</v>
      </c>
      <c r="O43" t="s">
        <v>74</v>
      </c>
      <c r="P43" t="s">
        <v>74</v>
      </c>
      <c r="Q43" t="s">
        <v>74</v>
      </c>
      <c r="R43" t="s">
        <v>74</v>
      </c>
      <c r="S43" t="s">
        <v>74</v>
      </c>
      <c r="T43" t="s">
        <v>808</v>
      </c>
      <c r="U43" t="s">
        <v>809</v>
      </c>
      <c r="V43" t="s">
        <v>810</v>
      </c>
      <c r="W43" t="s">
        <v>811</v>
      </c>
      <c r="X43" t="s">
        <v>812</v>
      </c>
      <c r="Y43" t="s">
        <v>813</v>
      </c>
      <c r="Z43" t="s">
        <v>814</v>
      </c>
      <c r="AA43" t="s">
        <v>815</v>
      </c>
      <c r="AB43" t="s">
        <v>816</v>
      </c>
      <c r="AC43" t="s">
        <v>74</v>
      </c>
      <c r="AD43" t="s">
        <v>74</v>
      </c>
      <c r="AE43" t="s">
        <v>74</v>
      </c>
      <c r="AF43" t="s">
        <v>74</v>
      </c>
      <c r="AG43">
        <v>58</v>
      </c>
      <c r="AH43">
        <v>28</v>
      </c>
      <c r="AI43">
        <v>32</v>
      </c>
      <c r="AJ43">
        <v>2</v>
      </c>
      <c r="AK43">
        <v>22</v>
      </c>
      <c r="AL43" t="s">
        <v>817</v>
      </c>
      <c r="AM43" t="s">
        <v>818</v>
      </c>
      <c r="AN43" t="s">
        <v>819</v>
      </c>
      <c r="AO43" t="s">
        <v>820</v>
      </c>
      <c r="AP43" t="s">
        <v>821</v>
      </c>
      <c r="AQ43" t="s">
        <v>74</v>
      </c>
      <c r="AR43" t="s">
        <v>807</v>
      </c>
      <c r="AS43" t="s">
        <v>822</v>
      </c>
      <c r="AT43" t="s">
        <v>661</v>
      </c>
      <c r="AU43">
        <v>2007</v>
      </c>
      <c r="AV43">
        <v>66</v>
      </c>
      <c r="AW43">
        <v>7</v>
      </c>
      <c r="AX43" t="s">
        <v>74</v>
      </c>
      <c r="AY43" t="s">
        <v>74</v>
      </c>
      <c r="AZ43" t="s">
        <v>74</v>
      </c>
      <c r="BA43" t="s">
        <v>74</v>
      </c>
      <c r="BB43">
        <v>1270</v>
      </c>
      <c r="BC43">
        <v>1277</v>
      </c>
      <c r="BD43" t="s">
        <v>74</v>
      </c>
      <c r="BE43" t="s">
        <v>823</v>
      </c>
      <c r="BF43" t="str">
        <f>HYPERLINK("http://dx.doi.org/10.1016/j.chemosphere.2006.07.026","http://dx.doi.org/10.1016/j.chemosphere.2006.07.026")</f>
        <v>http://dx.doi.org/10.1016/j.chemosphere.2006.07.026</v>
      </c>
      <c r="BG43" t="s">
        <v>74</v>
      </c>
      <c r="BH43" t="s">
        <v>74</v>
      </c>
      <c r="BI43">
        <v>8</v>
      </c>
      <c r="BJ43" t="s">
        <v>237</v>
      </c>
      <c r="BK43" t="s">
        <v>97</v>
      </c>
      <c r="BL43" t="s">
        <v>226</v>
      </c>
      <c r="BM43" t="s">
        <v>824</v>
      </c>
      <c r="BN43">
        <v>16930672</v>
      </c>
      <c r="BO43" t="s">
        <v>74</v>
      </c>
      <c r="BP43" t="s">
        <v>74</v>
      </c>
      <c r="BQ43" t="s">
        <v>74</v>
      </c>
      <c r="BR43" t="s">
        <v>100</v>
      </c>
      <c r="BS43" t="s">
        <v>825</v>
      </c>
      <c r="BT43" t="str">
        <f>HYPERLINK("https%3A%2F%2Fwww.webofscience.com%2Fwos%2Fwoscc%2Ffull-record%2FWOS:000244062700014","View Full Record in Web of Science")</f>
        <v>View Full Record in Web of Science</v>
      </c>
    </row>
    <row r="44" spans="1:72" x14ac:dyDescent="0.15">
      <c r="A44" t="s">
        <v>72</v>
      </c>
      <c r="B44" t="s">
        <v>826</v>
      </c>
      <c r="C44" t="s">
        <v>74</v>
      </c>
      <c r="D44" t="s">
        <v>74</v>
      </c>
      <c r="E44" t="s">
        <v>74</v>
      </c>
      <c r="F44" t="s">
        <v>827</v>
      </c>
      <c r="G44" t="s">
        <v>74</v>
      </c>
      <c r="H44" t="s">
        <v>74</v>
      </c>
      <c r="I44" t="s">
        <v>828</v>
      </c>
      <c r="J44" t="s">
        <v>829</v>
      </c>
      <c r="K44" t="s">
        <v>74</v>
      </c>
      <c r="L44" t="s">
        <v>74</v>
      </c>
      <c r="M44" t="s">
        <v>830</v>
      </c>
      <c r="N44" t="s">
        <v>79</v>
      </c>
      <c r="O44" t="s">
        <v>74</v>
      </c>
      <c r="P44" t="s">
        <v>74</v>
      </c>
      <c r="Q44" t="s">
        <v>74</v>
      </c>
      <c r="R44" t="s">
        <v>74</v>
      </c>
      <c r="S44" t="s">
        <v>74</v>
      </c>
      <c r="T44" t="s">
        <v>831</v>
      </c>
      <c r="U44" t="s">
        <v>832</v>
      </c>
      <c r="V44" t="s">
        <v>833</v>
      </c>
      <c r="W44" t="s">
        <v>834</v>
      </c>
      <c r="X44" t="s">
        <v>835</v>
      </c>
      <c r="Y44" t="s">
        <v>836</v>
      </c>
      <c r="Z44" t="s">
        <v>837</v>
      </c>
      <c r="AA44" t="s">
        <v>74</v>
      </c>
      <c r="AB44" t="s">
        <v>74</v>
      </c>
      <c r="AC44" t="s">
        <v>74</v>
      </c>
      <c r="AD44" t="s">
        <v>74</v>
      </c>
      <c r="AE44" t="s">
        <v>74</v>
      </c>
      <c r="AF44" t="s">
        <v>74</v>
      </c>
      <c r="AG44">
        <v>12</v>
      </c>
      <c r="AH44">
        <v>6</v>
      </c>
      <c r="AI44">
        <v>16</v>
      </c>
      <c r="AJ44">
        <v>0</v>
      </c>
      <c r="AK44">
        <v>12</v>
      </c>
      <c r="AL44" t="s">
        <v>838</v>
      </c>
      <c r="AM44" t="s">
        <v>678</v>
      </c>
      <c r="AN44" t="s">
        <v>839</v>
      </c>
      <c r="AO44" t="s">
        <v>840</v>
      </c>
      <c r="AP44" t="s">
        <v>841</v>
      </c>
      <c r="AQ44" t="s">
        <v>74</v>
      </c>
      <c r="AR44" t="s">
        <v>842</v>
      </c>
      <c r="AS44" t="s">
        <v>843</v>
      </c>
      <c r="AT44" t="s">
        <v>661</v>
      </c>
      <c r="AU44">
        <v>2007</v>
      </c>
      <c r="AV44">
        <v>35</v>
      </c>
      <c r="AW44">
        <v>1</v>
      </c>
      <c r="AX44" t="s">
        <v>74</v>
      </c>
      <c r="AY44" t="s">
        <v>74</v>
      </c>
      <c r="AZ44" t="s">
        <v>74</v>
      </c>
      <c r="BA44" t="s">
        <v>74</v>
      </c>
      <c r="BB44">
        <v>37</v>
      </c>
      <c r="BC44">
        <v>42</v>
      </c>
      <c r="BD44" t="s">
        <v>74</v>
      </c>
      <c r="BE44" t="s">
        <v>74</v>
      </c>
      <c r="BF44" t="s">
        <v>74</v>
      </c>
      <c r="BG44" t="s">
        <v>74</v>
      </c>
      <c r="BH44" t="s">
        <v>74</v>
      </c>
      <c r="BI44">
        <v>6</v>
      </c>
      <c r="BJ44" t="s">
        <v>844</v>
      </c>
      <c r="BK44" t="s">
        <v>97</v>
      </c>
      <c r="BL44" t="s">
        <v>335</v>
      </c>
      <c r="BM44" t="s">
        <v>845</v>
      </c>
      <c r="BN44" t="s">
        <v>74</v>
      </c>
      <c r="BO44" t="s">
        <v>74</v>
      </c>
      <c r="BP44" t="s">
        <v>74</v>
      </c>
      <c r="BQ44" t="s">
        <v>74</v>
      </c>
      <c r="BR44" t="s">
        <v>100</v>
      </c>
      <c r="BS44" t="s">
        <v>846</v>
      </c>
      <c r="BT44" t="str">
        <f>HYPERLINK("https%3A%2F%2Fwww.webofscience.com%2Fwos%2Fwoscc%2Ffull-record%2FWOS:000246604700007","View Full Record in Web of Science")</f>
        <v>View Full Record in Web of Science</v>
      </c>
    </row>
    <row r="45" spans="1:72" x14ac:dyDescent="0.15">
      <c r="A45" t="s">
        <v>72</v>
      </c>
      <c r="B45" t="s">
        <v>847</v>
      </c>
      <c r="C45" t="s">
        <v>74</v>
      </c>
      <c r="D45" t="s">
        <v>74</v>
      </c>
      <c r="E45" t="s">
        <v>74</v>
      </c>
      <c r="F45" t="s">
        <v>848</v>
      </c>
      <c r="G45" t="s">
        <v>74</v>
      </c>
      <c r="H45" t="s">
        <v>74</v>
      </c>
      <c r="I45" t="s">
        <v>849</v>
      </c>
      <c r="J45" t="s">
        <v>850</v>
      </c>
      <c r="K45" t="s">
        <v>74</v>
      </c>
      <c r="L45" t="s">
        <v>74</v>
      </c>
      <c r="M45" t="s">
        <v>830</v>
      </c>
      <c r="N45" t="s">
        <v>79</v>
      </c>
      <c r="O45" t="s">
        <v>74</v>
      </c>
      <c r="P45" t="s">
        <v>74</v>
      </c>
      <c r="Q45" t="s">
        <v>74</v>
      </c>
      <c r="R45" t="s">
        <v>74</v>
      </c>
      <c r="S45" t="s">
        <v>74</v>
      </c>
      <c r="T45" t="s">
        <v>851</v>
      </c>
      <c r="U45" t="s">
        <v>852</v>
      </c>
      <c r="V45" t="s">
        <v>853</v>
      </c>
      <c r="W45" t="s">
        <v>854</v>
      </c>
      <c r="X45" t="s">
        <v>855</v>
      </c>
      <c r="Y45" t="s">
        <v>856</v>
      </c>
      <c r="Z45" t="s">
        <v>857</v>
      </c>
      <c r="AA45" t="s">
        <v>858</v>
      </c>
      <c r="AB45" t="s">
        <v>74</v>
      </c>
      <c r="AC45" t="s">
        <v>74</v>
      </c>
      <c r="AD45" t="s">
        <v>74</v>
      </c>
      <c r="AE45" t="s">
        <v>74</v>
      </c>
      <c r="AF45" t="s">
        <v>74</v>
      </c>
      <c r="AG45">
        <v>20</v>
      </c>
      <c r="AH45">
        <v>2</v>
      </c>
      <c r="AI45">
        <v>2</v>
      </c>
      <c r="AJ45">
        <v>0</v>
      </c>
      <c r="AK45">
        <v>4</v>
      </c>
      <c r="AL45" t="s">
        <v>859</v>
      </c>
      <c r="AM45" t="s">
        <v>860</v>
      </c>
      <c r="AN45" t="s">
        <v>861</v>
      </c>
      <c r="AO45" t="s">
        <v>862</v>
      </c>
      <c r="AP45" t="s">
        <v>74</v>
      </c>
      <c r="AQ45" t="s">
        <v>74</v>
      </c>
      <c r="AR45" t="s">
        <v>863</v>
      </c>
      <c r="AS45" t="s">
        <v>864</v>
      </c>
      <c r="AT45" t="s">
        <v>661</v>
      </c>
      <c r="AU45">
        <v>2007</v>
      </c>
      <c r="AV45">
        <v>50</v>
      </c>
      <c r="AW45">
        <v>1</v>
      </c>
      <c r="AX45" t="s">
        <v>74</v>
      </c>
      <c r="AY45" t="s">
        <v>74</v>
      </c>
      <c r="AZ45" t="s">
        <v>74</v>
      </c>
      <c r="BA45" t="s">
        <v>74</v>
      </c>
      <c r="BB45">
        <v>58</v>
      </c>
      <c r="BC45">
        <v>65</v>
      </c>
      <c r="BD45" t="s">
        <v>74</v>
      </c>
      <c r="BE45" t="s">
        <v>74</v>
      </c>
      <c r="BF45" t="s">
        <v>74</v>
      </c>
      <c r="BG45" t="s">
        <v>74</v>
      </c>
      <c r="BH45" t="s">
        <v>74</v>
      </c>
      <c r="BI45">
        <v>8</v>
      </c>
      <c r="BJ45" t="s">
        <v>865</v>
      </c>
      <c r="BK45" t="s">
        <v>97</v>
      </c>
      <c r="BL45" t="s">
        <v>865</v>
      </c>
      <c r="BM45" t="s">
        <v>866</v>
      </c>
      <c r="BN45" t="s">
        <v>74</v>
      </c>
      <c r="BO45" t="s">
        <v>74</v>
      </c>
      <c r="BP45" t="s">
        <v>74</v>
      </c>
      <c r="BQ45" t="s">
        <v>74</v>
      </c>
      <c r="BR45" t="s">
        <v>100</v>
      </c>
      <c r="BS45" t="s">
        <v>867</v>
      </c>
      <c r="BT45" t="str">
        <f>HYPERLINK("https%3A%2F%2Fwww.webofscience.com%2Fwos%2Fwoscc%2Ffull-record%2FWOS:000244338300008","View Full Record in Web of Science")</f>
        <v>View Full Record in Web of Science</v>
      </c>
    </row>
    <row r="46" spans="1:72" x14ac:dyDescent="0.15">
      <c r="A46" t="s">
        <v>72</v>
      </c>
      <c r="B46" t="s">
        <v>868</v>
      </c>
      <c r="C46" t="s">
        <v>74</v>
      </c>
      <c r="D46" t="s">
        <v>74</v>
      </c>
      <c r="E46" t="s">
        <v>74</v>
      </c>
      <c r="F46" t="s">
        <v>869</v>
      </c>
      <c r="G46" t="s">
        <v>74</v>
      </c>
      <c r="H46" t="s">
        <v>74</v>
      </c>
      <c r="I46" t="s">
        <v>870</v>
      </c>
      <c r="J46" t="s">
        <v>871</v>
      </c>
      <c r="K46" t="s">
        <v>74</v>
      </c>
      <c r="L46" t="s">
        <v>74</v>
      </c>
      <c r="M46" t="s">
        <v>78</v>
      </c>
      <c r="N46" t="s">
        <v>79</v>
      </c>
      <c r="O46" t="s">
        <v>74</v>
      </c>
      <c r="P46" t="s">
        <v>74</v>
      </c>
      <c r="Q46" t="s">
        <v>74</v>
      </c>
      <c r="R46" t="s">
        <v>74</v>
      </c>
      <c r="S46" t="s">
        <v>74</v>
      </c>
      <c r="T46" t="s">
        <v>872</v>
      </c>
      <c r="U46" t="s">
        <v>873</v>
      </c>
      <c r="V46" t="s">
        <v>874</v>
      </c>
      <c r="W46" t="s">
        <v>875</v>
      </c>
      <c r="X46" t="s">
        <v>876</v>
      </c>
      <c r="Y46" t="s">
        <v>877</v>
      </c>
      <c r="Z46" t="s">
        <v>878</v>
      </c>
      <c r="AA46" t="s">
        <v>74</v>
      </c>
      <c r="AB46" t="s">
        <v>74</v>
      </c>
      <c r="AC46" t="s">
        <v>74</v>
      </c>
      <c r="AD46" t="s">
        <v>74</v>
      </c>
      <c r="AE46" t="s">
        <v>74</v>
      </c>
      <c r="AF46" t="s">
        <v>74</v>
      </c>
      <c r="AG46">
        <v>20</v>
      </c>
      <c r="AH46">
        <v>9</v>
      </c>
      <c r="AI46">
        <v>10</v>
      </c>
      <c r="AJ46">
        <v>2</v>
      </c>
      <c r="AK46">
        <v>22</v>
      </c>
      <c r="AL46" t="s">
        <v>859</v>
      </c>
      <c r="AM46" t="s">
        <v>860</v>
      </c>
      <c r="AN46" t="s">
        <v>861</v>
      </c>
      <c r="AO46" t="s">
        <v>879</v>
      </c>
      <c r="AP46" t="s">
        <v>880</v>
      </c>
      <c r="AQ46" t="s">
        <v>74</v>
      </c>
      <c r="AR46" t="s">
        <v>881</v>
      </c>
      <c r="AS46" t="s">
        <v>882</v>
      </c>
      <c r="AT46" t="s">
        <v>661</v>
      </c>
      <c r="AU46">
        <v>2007</v>
      </c>
      <c r="AV46">
        <v>52</v>
      </c>
      <c r="AW46">
        <v>1</v>
      </c>
      <c r="AX46" t="s">
        <v>74</v>
      </c>
      <c r="AY46" t="s">
        <v>74</v>
      </c>
      <c r="AZ46" t="s">
        <v>74</v>
      </c>
      <c r="BA46" t="s">
        <v>74</v>
      </c>
      <c r="BB46">
        <v>131</v>
      </c>
      <c r="BC46">
        <v>135</v>
      </c>
      <c r="BD46" t="s">
        <v>74</v>
      </c>
      <c r="BE46" t="s">
        <v>883</v>
      </c>
      <c r="BF46" t="str">
        <f>HYPERLINK("http://dx.doi.org/10.1007/s11434-007-0010-x","http://dx.doi.org/10.1007/s11434-007-0010-x")</f>
        <v>http://dx.doi.org/10.1007/s11434-007-0010-x</v>
      </c>
      <c r="BG46" t="s">
        <v>74</v>
      </c>
      <c r="BH46" t="s">
        <v>74</v>
      </c>
      <c r="BI46">
        <v>5</v>
      </c>
      <c r="BJ46" t="s">
        <v>884</v>
      </c>
      <c r="BK46" t="s">
        <v>97</v>
      </c>
      <c r="BL46" t="s">
        <v>885</v>
      </c>
      <c r="BM46" t="s">
        <v>886</v>
      </c>
      <c r="BN46" t="s">
        <v>74</v>
      </c>
      <c r="BO46" t="s">
        <v>74</v>
      </c>
      <c r="BP46" t="s">
        <v>74</v>
      </c>
      <c r="BQ46" t="s">
        <v>74</v>
      </c>
      <c r="BR46" t="s">
        <v>100</v>
      </c>
      <c r="BS46" t="s">
        <v>887</v>
      </c>
      <c r="BT46" t="str">
        <f>HYPERLINK("https%3A%2F%2Fwww.webofscience.com%2Fwos%2Fwoscc%2Ffull-record%2FWOS:000244624600019","View Full Record in Web of Science")</f>
        <v>View Full Record in Web of Science</v>
      </c>
    </row>
    <row r="47" spans="1:72" x14ac:dyDescent="0.15">
      <c r="A47" t="s">
        <v>888</v>
      </c>
      <c r="B47" t="s">
        <v>889</v>
      </c>
      <c r="C47" t="s">
        <v>74</v>
      </c>
      <c r="D47" t="s">
        <v>890</v>
      </c>
      <c r="E47" t="s">
        <v>74</v>
      </c>
      <c r="F47" t="s">
        <v>891</v>
      </c>
      <c r="G47" t="s">
        <v>74</v>
      </c>
      <c r="H47" t="s">
        <v>74</v>
      </c>
      <c r="I47" t="s">
        <v>892</v>
      </c>
      <c r="J47" t="s">
        <v>893</v>
      </c>
      <c r="K47" t="s">
        <v>894</v>
      </c>
      <c r="L47" t="s">
        <v>74</v>
      </c>
      <c r="M47" t="s">
        <v>78</v>
      </c>
      <c r="N47" t="s">
        <v>219</v>
      </c>
      <c r="O47" t="s">
        <v>74</v>
      </c>
      <c r="P47" t="s">
        <v>74</v>
      </c>
      <c r="Q47" t="s">
        <v>74</v>
      </c>
      <c r="R47" t="s">
        <v>74</v>
      </c>
      <c r="S47" t="s">
        <v>74</v>
      </c>
      <c r="T47" t="s">
        <v>74</v>
      </c>
      <c r="U47" t="s">
        <v>895</v>
      </c>
      <c r="V47" t="s">
        <v>896</v>
      </c>
      <c r="W47" t="s">
        <v>897</v>
      </c>
      <c r="X47" t="s">
        <v>898</v>
      </c>
      <c r="Y47" t="s">
        <v>899</v>
      </c>
      <c r="Z47" t="s">
        <v>74</v>
      </c>
      <c r="AA47" t="s">
        <v>900</v>
      </c>
      <c r="AB47" t="s">
        <v>901</v>
      </c>
      <c r="AC47" t="s">
        <v>74</v>
      </c>
      <c r="AD47" t="s">
        <v>74</v>
      </c>
      <c r="AE47" t="s">
        <v>74</v>
      </c>
      <c r="AF47" t="s">
        <v>74</v>
      </c>
      <c r="AG47">
        <v>65</v>
      </c>
      <c r="AH47">
        <v>38</v>
      </c>
      <c r="AI47">
        <v>41</v>
      </c>
      <c r="AJ47">
        <v>0</v>
      </c>
      <c r="AK47">
        <v>4</v>
      </c>
      <c r="AL47" t="s">
        <v>902</v>
      </c>
      <c r="AM47" t="s">
        <v>903</v>
      </c>
      <c r="AN47" t="s">
        <v>904</v>
      </c>
      <c r="AO47" t="s">
        <v>905</v>
      </c>
      <c r="AP47" t="s">
        <v>74</v>
      </c>
      <c r="AQ47" t="s">
        <v>906</v>
      </c>
      <c r="AR47" t="s">
        <v>907</v>
      </c>
      <c r="AS47" t="s">
        <v>74</v>
      </c>
      <c r="AT47" t="s">
        <v>74</v>
      </c>
      <c r="AU47">
        <v>2007</v>
      </c>
      <c r="AV47">
        <v>7</v>
      </c>
      <c r="AW47" t="s">
        <v>74</v>
      </c>
      <c r="AX47" t="s">
        <v>74</v>
      </c>
      <c r="AY47" t="s">
        <v>74</v>
      </c>
      <c r="AZ47" t="s">
        <v>74</v>
      </c>
      <c r="BA47" t="s">
        <v>74</v>
      </c>
      <c r="BB47">
        <v>53</v>
      </c>
      <c r="BC47">
        <v>73</v>
      </c>
      <c r="BD47" t="s">
        <v>74</v>
      </c>
      <c r="BE47" t="s">
        <v>74</v>
      </c>
      <c r="BF47" t="s">
        <v>74</v>
      </c>
      <c r="BG47" t="s">
        <v>74</v>
      </c>
      <c r="BH47" t="s">
        <v>74</v>
      </c>
      <c r="BI47">
        <v>21</v>
      </c>
      <c r="BJ47" t="s">
        <v>642</v>
      </c>
      <c r="BK47" t="s">
        <v>238</v>
      </c>
      <c r="BL47" t="s">
        <v>642</v>
      </c>
      <c r="BM47" t="s">
        <v>908</v>
      </c>
      <c r="BN47" t="s">
        <v>74</v>
      </c>
      <c r="BO47" t="s">
        <v>74</v>
      </c>
      <c r="BP47" t="s">
        <v>74</v>
      </c>
      <c r="BQ47" t="s">
        <v>74</v>
      </c>
      <c r="BR47" t="s">
        <v>100</v>
      </c>
      <c r="BS47" t="s">
        <v>909</v>
      </c>
      <c r="BT47" t="str">
        <f>HYPERLINK("https%3A%2F%2Fwww.webofscience.com%2Fwos%2Fwoscc%2Ffull-record%2FWOS:000310639900007","View Full Record in Web of Science")</f>
        <v>View Full Record in Web of Science</v>
      </c>
    </row>
    <row r="48" spans="1:72" x14ac:dyDescent="0.15">
      <c r="A48" t="s">
        <v>888</v>
      </c>
      <c r="B48" t="s">
        <v>910</v>
      </c>
      <c r="C48" t="s">
        <v>74</v>
      </c>
      <c r="D48" t="s">
        <v>890</v>
      </c>
      <c r="E48" t="s">
        <v>74</v>
      </c>
      <c r="F48" t="s">
        <v>911</v>
      </c>
      <c r="G48" t="s">
        <v>74</v>
      </c>
      <c r="H48" t="s">
        <v>74</v>
      </c>
      <c r="I48" t="s">
        <v>912</v>
      </c>
      <c r="J48" t="s">
        <v>893</v>
      </c>
      <c r="K48" t="s">
        <v>894</v>
      </c>
      <c r="L48" t="s">
        <v>74</v>
      </c>
      <c r="M48" t="s">
        <v>78</v>
      </c>
      <c r="N48" t="s">
        <v>219</v>
      </c>
      <c r="O48" t="s">
        <v>74</v>
      </c>
      <c r="P48" t="s">
        <v>74</v>
      </c>
      <c r="Q48" t="s">
        <v>74</v>
      </c>
      <c r="R48" t="s">
        <v>74</v>
      </c>
      <c r="S48" t="s">
        <v>74</v>
      </c>
      <c r="T48" t="s">
        <v>913</v>
      </c>
      <c r="U48" t="s">
        <v>914</v>
      </c>
      <c r="V48" t="s">
        <v>915</v>
      </c>
      <c r="W48" t="s">
        <v>916</v>
      </c>
      <c r="X48" t="s">
        <v>917</v>
      </c>
      <c r="Y48" t="s">
        <v>918</v>
      </c>
      <c r="Z48" t="s">
        <v>74</v>
      </c>
      <c r="AA48" t="s">
        <v>74</v>
      </c>
      <c r="AB48" t="s">
        <v>919</v>
      </c>
      <c r="AC48" t="s">
        <v>74</v>
      </c>
      <c r="AD48" t="s">
        <v>74</v>
      </c>
      <c r="AE48" t="s">
        <v>74</v>
      </c>
      <c r="AF48" t="s">
        <v>74</v>
      </c>
      <c r="AG48">
        <v>58</v>
      </c>
      <c r="AH48">
        <v>1</v>
      </c>
      <c r="AI48">
        <v>1</v>
      </c>
      <c r="AJ48">
        <v>0</v>
      </c>
      <c r="AK48">
        <v>1</v>
      </c>
      <c r="AL48" t="s">
        <v>902</v>
      </c>
      <c r="AM48" t="s">
        <v>903</v>
      </c>
      <c r="AN48" t="s">
        <v>904</v>
      </c>
      <c r="AO48" t="s">
        <v>905</v>
      </c>
      <c r="AP48" t="s">
        <v>74</v>
      </c>
      <c r="AQ48" t="s">
        <v>906</v>
      </c>
      <c r="AR48" t="s">
        <v>907</v>
      </c>
      <c r="AS48" t="s">
        <v>74</v>
      </c>
      <c r="AT48" t="s">
        <v>74</v>
      </c>
      <c r="AU48">
        <v>2007</v>
      </c>
      <c r="AV48">
        <v>7</v>
      </c>
      <c r="AW48" t="s">
        <v>74</v>
      </c>
      <c r="AX48" t="s">
        <v>74</v>
      </c>
      <c r="AY48" t="s">
        <v>74</v>
      </c>
      <c r="AZ48" t="s">
        <v>74</v>
      </c>
      <c r="BA48" t="s">
        <v>74</v>
      </c>
      <c r="BB48">
        <v>289</v>
      </c>
      <c r="BC48">
        <v>303</v>
      </c>
      <c r="BD48" t="s">
        <v>74</v>
      </c>
      <c r="BE48" t="s">
        <v>920</v>
      </c>
      <c r="BF48" t="str">
        <f>HYPERLINK("http://dx.doi.org/10.1016/S1571-0866(07)80045-5","http://dx.doi.org/10.1016/S1571-0866(07)80045-5")</f>
        <v>http://dx.doi.org/10.1016/S1571-0866(07)80045-5</v>
      </c>
      <c r="BG48" t="s">
        <v>74</v>
      </c>
      <c r="BH48" t="s">
        <v>74</v>
      </c>
      <c r="BI48">
        <v>15</v>
      </c>
      <c r="BJ48" t="s">
        <v>642</v>
      </c>
      <c r="BK48" t="s">
        <v>238</v>
      </c>
      <c r="BL48" t="s">
        <v>642</v>
      </c>
      <c r="BM48" t="s">
        <v>908</v>
      </c>
      <c r="BN48" t="s">
        <v>74</v>
      </c>
      <c r="BO48" t="s">
        <v>74</v>
      </c>
      <c r="BP48" t="s">
        <v>74</v>
      </c>
      <c r="BQ48" t="s">
        <v>74</v>
      </c>
      <c r="BR48" t="s">
        <v>100</v>
      </c>
      <c r="BS48" t="s">
        <v>921</v>
      </c>
      <c r="BT48" t="str">
        <f>HYPERLINK("https%3A%2F%2Fwww.webofscience.com%2Fwos%2Fwoscc%2Ffull-record%2FWOS:000310639900021","View Full Record in Web of Science")</f>
        <v>View Full Record in Web of Science</v>
      </c>
    </row>
    <row r="49" spans="1:72" x14ac:dyDescent="0.15">
      <c r="A49" t="s">
        <v>888</v>
      </c>
      <c r="B49" t="s">
        <v>922</v>
      </c>
      <c r="C49" t="s">
        <v>74</v>
      </c>
      <c r="D49" t="s">
        <v>890</v>
      </c>
      <c r="E49" t="s">
        <v>74</v>
      </c>
      <c r="F49" t="s">
        <v>923</v>
      </c>
      <c r="G49" t="s">
        <v>74</v>
      </c>
      <c r="H49" t="s">
        <v>74</v>
      </c>
      <c r="I49" t="s">
        <v>924</v>
      </c>
      <c r="J49" t="s">
        <v>893</v>
      </c>
      <c r="K49" t="s">
        <v>894</v>
      </c>
      <c r="L49" t="s">
        <v>74</v>
      </c>
      <c r="M49" t="s">
        <v>78</v>
      </c>
      <c r="N49" t="s">
        <v>925</v>
      </c>
      <c r="O49" t="s">
        <v>74</v>
      </c>
      <c r="P49" t="s">
        <v>74</v>
      </c>
      <c r="Q49" t="s">
        <v>74</v>
      </c>
      <c r="R49" t="s">
        <v>74</v>
      </c>
      <c r="S49" t="s">
        <v>74</v>
      </c>
      <c r="T49" t="s">
        <v>74</v>
      </c>
      <c r="U49" t="s">
        <v>74</v>
      </c>
      <c r="V49" t="s">
        <v>74</v>
      </c>
      <c r="W49" t="s">
        <v>926</v>
      </c>
      <c r="X49" t="s">
        <v>927</v>
      </c>
      <c r="Y49" t="s">
        <v>928</v>
      </c>
      <c r="Z49" t="s">
        <v>74</v>
      </c>
      <c r="AA49" t="s">
        <v>929</v>
      </c>
      <c r="AB49" t="s">
        <v>930</v>
      </c>
      <c r="AC49" t="s">
        <v>74</v>
      </c>
      <c r="AD49" t="s">
        <v>74</v>
      </c>
      <c r="AE49" t="s">
        <v>74</v>
      </c>
      <c r="AF49" t="s">
        <v>74</v>
      </c>
      <c r="AG49">
        <v>0</v>
      </c>
      <c r="AH49">
        <v>8</v>
      </c>
      <c r="AI49">
        <v>10</v>
      </c>
      <c r="AJ49">
        <v>0</v>
      </c>
      <c r="AK49">
        <v>3</v>
      </c>
      <c r="AL49" t="s">
        <v>902</v>
      </c>
      <c r="AM49" t="s">
        <v>903</v>
      </c>
      <c r="AN49" t="s">
        <v>904</v>
      </c>
      <c r="AO49" t="s">
        <v>905</v>
      </c>
      <c r="AP49" t="s">
        <v>74</v>
      </c>
      <c r="AQ49" t="s">
        <v>931</v>
      </c>
      <c r="AR49" t="s">
        <v>907</v>
      </c>
      <c r="AS49" t="s">
        <v>74</v>
      </c>
      <c r="AT49" t="s">
        <v>74</v>
      </c>
      <c r="AU49">
        <v>2007</v>
      </c>
      <c r="AV49">
        <v>7</v>
      </c>
      <c r="AW49" t="s">
        <v>74</v>
      </c>
      <c r="AX49" t="s">
        <v>74</v>
      </c>
      <c r="AY49" t="s">
        <v>74</v>
      </c>
      <c r="AZ49" t="s">
        <v>74</v>
      </c>
      <c r="BA49" t="s">
        <v>74</v>
      </c>
      <c r="BB49">
        <v>597</v>
      </c>
      <c r="BC49">
        <v>614</v>
      </c>
      <c r="BD49" t="s">
        <v>74</v>
      </c>
      <c r="BE49" t="s">
        <v>932</v>
      </c>
      <c r="BF49" t="str">
        <f>HYPERLINK("http://dx.doi.org/10.1016/S1571-0866(07)80065-0","http://dx.doi.org/10.1016/S1571-0866(07)80065-0")</f>
        <v>http://dx.doi.org/10.1016/S1571-0866(07)80065-0</v>
      </c>
      <c r="BG49" t="s">
        <v>74</v>
      </c>
      <c r="BH49" t="s">
        <v>74</v>
      </c>
      <c r="BI49">
        <v>18</v>
      </c>
      <c r="BJ49" t="s">
        <v>642</v>
      </c>
      <c r="BK49" t="s">
        <v>238</v>
      </c>
      <c r="BL49" t="s">
        <v>642</v>
      </c>
      <c r="BM49" t="s">
        <v>908</v>
      </c>
      <c r="BN49" t="s">
        <v>74</v>
      </c>
      <c r="BO49" t="s">
        <v>74</v>
      </c>
      <c r="BP49" t="s">
        <v>74</v>
      </c>
      <c r="BQ49" t="s">
        <v>74</v>
      </c>
      <c r="BR49" t="s">
        <v>100</v>
      </c>
      <c r="BS49" t="s">
        <v>933</v>
      </c>
      <c r="BT49" t="str">
        <f>HYPERLINK("https%3A%2F%2Fwww.webofscience.com%2Fwos%2Fwoscc%2Ffull-record%2FWOS:000310639900041","View Full Record in Web of Science")</f>
        <v>View Full Record in Web of Science</v>
      </c>
    </row>
    <row r="50" spans="1:72" x14ac:dyDescent="0.15">
      <c r="A50" t="s">
        <v>72</v>
      </c>
      <c r="B50" t="s">
        <v>934</v>
      </c>
      <c r="C50" t="s">
        <v>74</v>
      </c>
      <c r="D50" t="s">
        <v>74</v>
      </c>
      <c r="E50" t="s">
        <v>74</v>
      </c>
      <c r="F50" t="s">
        <v>935</v>
      </c>
      <c r="G50" t="s">
        <v>74</v>
      </c>
      <c r="H50" t="s">
        <v>74</v>
      </c>
      <c r="I50" t="s">
        <v>936</v>
      </c>
      <c r="J50" t="s">
        <v>937</v>
      </c>
      <c r="K50" t="s">
        <v>74</v>
      </c>
      <c r="L50" t="s">
        <v>74</v>
      </c>
      <c r="M50" t="s">
        <v>78</v>
      </c>
      <c r="N50" t="s">
        <v>79</v>
      </c>
      <c r="O50" t="s">
        <v>74</v>
      </c>
      <c r="P50" t="s">
        <v>74</v>
      </c>
      <c r="Q50" t="s">
        <v>74</v>
      </c>
      <c r="R50" t="s">
        <v>74</v>
      </c>
      <c r="S50" t="s">
        <v>74</v>
      </c>
      <c r="T50" t="s">
        <v>74</v>
      </c>
      <c r="U50" t="s">
        <v>938</v>
      </c>
      <c r="V50" t="s">
        <v>939</v>
      </c>
      <c r="W50" t="s">
        <v>940</v>
      </c>
      <c r="X50" t="s">
        <v>941</v>
      </c>
      <c r="Y50" t="s">
        <v>942</v>
      </c>
      <c r="Z50" t="s">
        <v>943</v>
      </c>
      <c r="AA50" t="s">
        <v>944</v>
      </c>
      <c r="AB50" t="s">
        <v>74</v>
      </c>
      <c r="AC50" t="s">
        <v>74</v>
      </c>
      <c r="AD50" t="s">
        <v>74</v>
      </c>
      <c r="AE50" t="s">
        <v>74</v>
      </c>
      <c r="AF50" t="s">
        <v>74</v>
      </c>
      <c r="AG50">
        <v>79</v>
      </c>
      <c r="AH50">
        <v>48</v>
      </c>
      <c r="AI50">
        <v>49</v>
      </c>
      <c r="AJ50">
        <v>0</v>
      </c>
      <c r="AK50">
        <v>12</v>
      </c>
      <c r="AL50" t="s">
        <v>351</v>
      </c>
      <c r="AM50" t="s">
        <v>352</v>
      </c>
      <c r="AN50" t="s">
        <v>353</v>
      </c>
      <c r="AO50" t="s">
        <v>945</v>
      </c>
      <c r="AP50" t="s">
        <v>946</v>
      </c>
      <c r="AQ50" t="s">
        <v>74</v>
      </c>
      <c r="AR50" t="s">
        <v>947</v>
      </c>
      <c r="AS50" t="s">
        <v>948</v>
      </c>
      <c r="AT50" t="s">
        <v>74</v>
      </c>
      <c r="AU50">
        <v>2007</v>
      </c>
      <c r="AV50">
        <v>3</v>
      </c>
      <c r="AW50">
        <v>1</v>
      </c>
      <c r="AX50" t="s">
        <v>74</v>
      </c>
      <c r="AY50" t="s">
        <v>74</v>
      </c>
      <c r="AZ50" t="s">
        <v>74</v>
      </c>
      <c r="BA50" t="s">
        <v>74</v>
      </c>
      <c r="BB50">
        <v>1</v>
      </c>
      <c r="BC50">
        <v>14</v>
      </c>
      <c r="BD50" t="s">
        <v>74</v>
      </c>
      <c r="BE50" t="s">
        <v>949</v>
      </c>
      <c r="BF50" t="str">
        <f>HYPERLINK("http://dx.doi.org/10.5194/cp-3-1-2007","http://dx.doi.org/10.5194/cp-3-1-2007")</f>
        <v>http://dx.doi.org/10.5194/cp-3-1-2007</v>
      </c>
      <c r="BG50" t="s">
        <v>74</v>
      </c>
      <c r="BH50" t="s">
        <v>74</v>
      </c>
      <c r="BI50">
        <v>14</v>
      </c>
      <c r="BJ50" t="s">
        <v>950</v>
      </c>
      <c r="BK50" t="s">
        <v>97</v>
      </c>
      <c r="BL50" t="s">
        <v>951</v>
      </c>
      <c r="BM50" t="s">
        <v>952</v>
      </c>
      <c r="BN50" t="s">
        <v>74</v>
      </c>
      <c r="BO50" t="s">
        <v>462</v>
      </c>
      <c r="BP50" t="s">
        <v>74</v>
      </c>
      <c r="BQ50" t="s">
        <v>74</v>
      </c>
      <c r="BR50" t="s">
        <v>100</v>
      </c>
      <c r="BS50" t="s">
        <v>953</v>
      </c>
      <c r="BT50" t="str">
        <f>HYPERLINK("https%3A%2F%2Fwww.webofscience.com%2Fwos%2Fwoscc%2Ffull-record%2FWOS:000244506800001","View Full Record in Web of Science")</f>
        <v>View Full Record in Web of Science</v>
      </c>
    </row>
    <row r="51" spans="1:72" x14ac:dyDescent="0.15">
      <c r="A51" t="s">
        <v>72</v>
      </c>
      <c r="B51" t="s">
        <v>954</v>
      </c>
      <c r="C51" t="s">
        <v>74</v>
      </c>
      <c r="D51" t="s">
        <v>74</v>
      </c>
      <c r="E51" t="s">
        <v>74</v>
      </c>
      <c r="F51" t="s">
        <v>955</v>
      </c>
      <c r="G51" t="s">
        <v>74</v>
      </c>
      <c r="H51" t="s">
        <v>74</v>
      </c>
      <c r="I51" t="s">
        <v>956</v>
      </c>
      <c r="J51" t="s">
        <v>937</v>
      </c>
      <c r="K51" t="s">
        <v>74</v>
      </c>
      <c r="L51" t="s">
        <v>74</v>
      </c>
      <c r="M51" t="s">
        <v>78</v>
      </c>
      <c r="N51" t="s">
        <v>79</v>
      </c>
      <c r="O51" t="s">
        <v>74</v>
      </c>
      <c r="P51" t="s">
        <v>74</v>
      </c>
      <c r="Q51" t="s">
        <v>74</v>
      </c>
      <c r="R51" t="s">
        <v>74</v>
      </c>
      <c r="S51" t="s">
        <v>74</v>
      </c>
      <c r="T51" t="s">
        <v>74</v>
      </c>
      <c r="U51" t="s">
        <v>957</v>
      </c>
      <c r="V51" t="s">
        <v>958</v>
      </c>
      <c r="W51" t="s">
        <v>959</v>
      </c>
      <c r="X51" t="s">
        <v>960</v>
      </c>
      <c r="Y51" t="s">
        <v>961</v>
      </c>
      <c r="Z51" t="s">
        <v>962</v>
      </c>
      <c r="AA51" t="s">
        <v>963</v>
      </c>
      <c r="AB51" t="s">
        <v>964</v>
      </c>
      <c r="AC51" t="s">
        <v>74</v>
      </c>
      <c r="AD51" t="s">
        <v>74</v>
      </c>
      <c r="AE51" t="s">
        <v>74</v>
      </c>
      <c r="AF51" t="s">
        <v>74</v>
      </c>
      <c r="AG51">
        <v>41</v>
      </c>
      <c r="AH51">
        <v>175</v>
      </c>
      <c r="AI51">
        <v>185</v>
      </c>
      <c r="AJ51">
        <v>2</v>
      </c>
      <c r="AK51">
        <v>39</v>
      </c>
      <c r="AL51" t="s">
        <v>351</v>
      </c>
      <c r="AM51" t="s">
        <v>352</v>
      </c>
      <c r="AN51" t="s">
        <v>353</v>
      </c>
      <c r="AO51" t="s">
        <v>945</v>
      </c>
      <c r="AP51" t="s">
        <v>946</v>
      </c>
      <c r="AQ51" t="s">
        <v>74</v>
      </c>
      <c r="AR51" t="s">
        <v>947</v>
      </c>
      <c r="AS51" t="s">
        <v>948</v>
      </c>
      <c r="AT51" t="s">
        <v>74</v>
      </c>
      <c r="AU51">
        <v>2007</v>
      </c>
      <c r="AV51">
        <v>3</v>
      </c>
      <c r="AW51">
        <v>1</v>
      </c>
      <c r="AX51" t="s">
        <v>74</v>
      </c>
      <c r="AY51" t="s">
        <v>74</v>
      </c>
      <c r="AZ51" t="s">
        <v>74</v>
      </c>
      <c r="BA51" t="s">
        <v>74</v>
      </c>
      <c r="BB51">
        <v>51</v>
      </c>
      <c r="BC51">
        <v>64</v>
      </c>
      <c r="BD51" t="s">
        <v>74</v>
      </c>
      <c r="BE51" t="s">
        <v>965</v>
      </c>
      <c r="BF51" t="str">
        <f>HYPERLINK("http://dx.doi.org/10.5194/cp-3-51-2007","http://dx.doi.org/10.5194/cp-3-51-2007")</f>
        <v>http://dx.doi.org/10.5194/cp-3-51-2007</v>
      </c>
      <c r="BG51" t="s">
        <v>74</v>
      </c>
      <c r="BH51" t="s">
        <v>74</v>
      </c>
      <c r="BI51">
        <v>14</v>
      </c>
      <c r="BJ51" t="s">
        <v>950</v>
      </c>
      <c r="BK51" t="s">
        <v>97</v>
      </c>
      <c r="BL51" t="s">
        <v>951</v>
      </c>
      <c r="BM51" t="s">
        <v>952</v>
      </c>
      <c r="BN51" t="s">
        <v>74</v>
      </c>
      <c r="BO51" t="s">
        <v>337</v>
      </c>
      <c r="BP51" t="s">
        <v>74</v>
      </c>
      <c r="BQ51" t="s">
        <v>74</v>
      </c>
      <c r="BR51" t="s">
        <v>100</v>
      </c>
      <c r="BS51" t="s">
        <v>966</v>
      </c>
      <c r="BT51" t="str">
        <f>HYPERLINK("https%3A%2F%2Fwww.webofscience.com%2Fwos%2Fwoscc%2Ffull-record%2FWOS:000244506800004","View Full Record in Web of Science")</f>
        <v>View Full Record in Web of Science</v>
      </c>
    </row>
    <row r="52" spans="1:72" x14ac:dyDescent="0.15">
      <c r="A52" t="s">
        <v>72</v>
      </c>
      <c r="B52" t="s">
        <v>967</v>
      </c>
      <c r="C52" t="s">
        <v>74</v>
      </c>
      <c r="D52" t="s">
        <v>74</v>
      </c>
      <c r="E52" t="s">
        <v>74</v>
      </c>
      <c r="F52" t="s">
        <v>968</v>
      </c>
      <c r="G52" t="s">
        <v>74</v>
      </c>
      <c r="H52" t="s">
        <v>74</v>
      </c>
      <c r="I52" t="s">
        <v>969</v>
      </c>
      <c r="J52" t="s">
        <v>937</v>
      </c>
      <c r="K52" t="s">
        <v>74</v>
      </c>
      <c r="L52" t="s">
        <v>74</v>
      </c>
      <c r="M52" t="s">
        <v>78</v>
      </c>
      <c r="N52" t="s">
        <v>79</v>
      </c>
      <c r="O52" t="s">
        <v>74</v>
      </c>
      <c r="P52" t="s">
        <v>74</v>
      </c>
      <c r="Q52" t="s">
        <v>74</v>
      </c>
      <c r="R52" t="s">
        <v>74</v>
      </c>
      <c r="S52" t="s">
        <v>74</v>
      </c>
      <c r="T52" t="s">
        <v>74</v>
      </c>
      <c r="U52" t="s">
        <v>970</v>
      </c>
      <c r="V52" t="s">
        <v>971</v>
      </c>
      <c r="W52" t="s">
        <v>972</v>
      </c>
      <c r="X52" t="s">
        <v>973</v>
      </c>
      <c r="Y52" t="s">
        <v>974</v>
      </c>
      <c r="Z52" t="s">
        <v>975</v>
      </c>
      <c r="AA52" t="s">
        <v>976</v>
      </c>
      <c r="AB52" t="s">
        <v>977</v>
      </c>
      <c r="AC52" t="s">
        <v>74</v>
      </c>
      <c r="AD52" t="s">
        <v>74</v>
      </c>
      <c r="AE52" t="s">
        <v>74</v>
      </c>
      <c r="AF52" t="s">
        <v>74</v>
      </c>
      <c r="AG52">
        <v>21</v>
      </c>
      <c r="AH52">
        <v>64</v>
      </c>
      <c r="AI52">
        <v>67</v>
      </c>
      <c r="AJ52">
        <v>0</v>
      </c>
      <c r="AK52">
        <v>9</v>
      </c>
      <c r="AL52" t="s">
        <v>351</v>
      </c>
      <c r="AM52" t="s">
        <v>352</v>
      </c>
      <c r="AN52" t="s">
        <v>353</v>
      </c>
      <c r="AO52" t="s">
        <v>945</v>
      </c>
      <c r="AP52" t="s">
        <v>946</v>
      </c>
      <c r="AQ52" t="s">
        <v>74</v>
      </c>
      <c r="AR52" t="s">
        <v>947</v>
      </c>
      <c r="AS52" t="s">
        <v>948</v>
      </c>
      <c r="AT52" t="s">
        <v>74</v>
      </c>
      <c r="AU52">
        <v>2007</v>
      </c>
      <c r="AV52">
        <v>3</v>
      </c>
      <c r="AW52">
        <v>1</v>
      </c>
      <c r="AX52" t="s">
        <v>74</v>
      </c>
      <c r="AY52" t="s">
        <v>74</v>
      </c>
      <c r="AZ52" t="s">
        <v>74</v>
      </c>
      <c r="BA52" t="s">
        <v>74</v>
      </c>
      <c r="BB52">
        <v>77</v>
      </c>
      <c r="BC52">
        <v>87</v>
      </c>
      <c r="BD52" t="s">
        <v>74</v>
      </c>
      <c r="BE52" t="s">
        <v>978</v>
      </c>
      <c r="BF52" t="str">
        <f>HYPERLINK("http://dx.doi.org/10.5194/cp-3-77-2007","http://dx.doi.org/10.5194/cp-3-77-2007")</f>
        <v>http://dx.doi.org/10.5194/cp-3-77-2007</v>
      </c>
      <c r="BG52" t="s">
        <v>74</v>
      </c>
      <c r="BH52" t="s">
        <v>74</v>
      </c>
      <c r="BI52">
        <v>11</v>
      </c>
      <c r="BJ52" t="s">
        <v>950</v>
      </c>
      <c r="BK52" t="s">
        <v>97</v>
      </c>
      <c r="BL52" t="s">
        <v>951</v>
      </c>
      <c r="BM52" t="s">
        <v>952</v>
      </c>
      <c r="BN52" t="s">
        <v>74</v>
      </c>
      <c r="BO52" t="s">
        <v>337</v>
      </c>
      <c r="BP52" t="s">
        <v>74</v>
      </c>
      <c r="BQ52" t="s">
        <v>74</v>
      </c>
      <c r="BR52" t="s">
        <v>100</v>
      </c>
      <c r="BS52" t="s">
        <v>979</v>
      </c>
      <c r="BT52" t="str">
        <f>HYPERLINK("https%3A%2F%2Fwww.webofscience.com%2Fwos%2Fwoscc%2Ffull-record%2FWOS:000244506800006","View Full Record in Web of Science")</f>
        <v>View Full Record in Web of Science</v>
      </c>
    </row>
    <row r="53" spans="1:72" x14ac:dyDescent="0.15">
      <c r="A53" t="s">
        <v>72</v>
      </c>
      <c r="B53" t="s">
        <v>980</v>
      </c>
      <c r="C53" t="s">
        <v>74</v>
      </c>
      <c r="D53" t="s">
        <v>74</v>
      </c>
      <c r="E53" t="s">
        <v>74</v>
      </c>
      <c r="F53" t="s">
        <v>981</v>
      </c>
      <c r="G53" t="s">
        <v>74</v>
      </c>
      <c r="H53" t="s">
        <v>74</v>
      </c>
      <c r="I53" t="s">
        <v>982</v>
      </c>
      <c r="J53" t="s">
        <v>937</v>
      </c>
      <c r="K53" t="s">
        <v>74</v>
      </c>
      <c r="L53" t="s">
        <v>74</v>
      </c>
      <c r="M53" t="s">
        <v>78</v>
      </c>
      <c r="N53" t="s">
        <v>79</v>
      </c>
      <c r="O53" t="s">
        <v>74</v>
      </c>
      <c r="P53" t="s">
        <v>74</v>
      </c>
      <c r="Q53" t="s">
        <v>74</v>
      </c>
      <c r="R53" t="s">
        <v>74</v>
      </c>
      <c r="S53" t="s">
        <v>74</v>
      </c>
      <c r="T53" t="s">
        <v>74</v>
      </c>
      <c r="U53" t="s">
        <v>983</v>
      </c>
      <c r="V53" t="s">
        <v>984</v>
      </c>
      <c r="W53" t="s">
        <v>985</v>
      </c>
      <c r="X53" t="s">
        <v>986</v>
      </c>
      <c r="Y53" t="s">
        <v>987</v>
      </c>
      <c r="Z53" t="s">
        <v>988</v>
      </c>
      <c r="AA53" t="s">
        <v>989</v>
      </c>
      <c r="AB53" t="s">
        <v>990</v>
      </c>
      <c r="AC53" t="s">
        <v>991</v>
      </c>
      <c r="AD53" t="s">
        <v>992</v>
      </c>
      <c r="AE53" t="s">
        <v>74</v>
      </c>
      <c r="AF53" t="s">
        <v>74</v>
      </c>
      <c r="AG53">
        <v>33</v>
      </c>
      <c r="AH53">
        <v>22</v>
      </c>
      <c r="AI53">
        <v>25</v>
      </c>
      <c r="AJ53">
        <v>0</v>
      </c>
      <c r="AK53">
        <v>28</v>
      </c>
      <c r="AL53" t="s">
        <v>351</v>
      </c>
      <c r="AM53" t="s">
        <v>352</v>
      </c>
      <c r="AN53" t="s">
        <v>353</v>
      </c>
      <c r="AO53" t="s">
        <v>945</v>
      </c>
      <c r="AP53" t="s">
        <v>946</v>
      </c>
      <c r="AQ53" t="s">
        <v>74</v>
      </c>
      <c r="AR53" t="s">
        <v>947</v>
      </c>
      <c r="AS53" t="s">
        <v>948</v>
      </c>
      <c r="AT53" t="s">
        <v>74</v>
      </c>
      <c r="AU53">
        <v>2007</v>
      </c>
      <c r="AV53">
        <v>3</v>
      </c>
      <c r="AW53">
        <v>1</v>
      </c>
      <c r="AX53" t="s">
        <v>74</v>
      </c>
      <c r="AY53" t="s">
        <v>74</v>
      </c>
      <c r="AZ53" t="s">
        <v>74</v>
      </c>
      <c r="BA53" t="s">
        <v>74</v>
      </c>
      <c r="BB53">
        <v>89</v>
      </c>
      <c r="BC53">
        <v>95</v>
      </c>
      <c r="BD53" t="s">
        <v>74</v>
      </c>
      <c r="BE53" t="s">
        <v>993</v>
      </c>
      <c r="BF53" t="str">
        <f>HYPERLINK("http://dx.doi.org/10.5194/cp-3-89-2007","http://dx.doi.org/10.5194/cp-3-89-2007")</f>
        <v>http://dx.doi.org/10.5194/cp-3-89-2007</v>
      </c>
      <c r="BG53" t="s">
        <v>74</v>
      </c>
      <c r="BH53" t="s">
        <v>74</v>
      </c>
      <c r="BI53">
        <v>7</v>
      </c>
      <c r="BJ53" t="s">
        <v>950</v>
      </c>
      <c r="BK53" t="s">
        <v>97</v>
      </c>
      <c r="BL53" t="s">
        <v>951</v>
      </c>
      <c r="BM53" t="s">
        <v>952</v>
      </c>
      <c r="BN53" t="s">
        <v>74</v>
      </c>
      <c r="BO53" t="s">
        <v>337</v>
      </c>
      <c r="BP53" t="s">
        <v>74</v>
      </c>
      <c r="BQ53" t="s">
        <v>74</v>
      </c>
      <c r="BR53" t="s">
        <v>100</v>
      </c>
      <c r="BS53" t="s">
        <v>994</v>
      </c>
      <c r="BT53" t="str">
        <f>HYPERLINK("https%3A%2F%2Fwww.webofscience.com%2Fwos%2Fwoscc%2Ffull-record%2FWOS:000244506800007","View Full Record in Web of Science")</f>
        <v>View Full Record in Web of Science</v>
      </c>
    </row>
    <row r="54" spans="1:72" x14ac:dyDescent="0.15">
      <c r="A54" t="s">
        <v>72</v>
      </c>
      <c r="B54" t="s">
        <v>995</v>
      </c>
      <c r="C54" t="s">
        <v>74</v>
      </c>
      <c r="D54" t="s">
        <v>74</v>
      </c>
      <c r="E54" t="s">
        <v>74</v>
      </c>
      <c r="F54" t="s">
        <v>996</v>
      </c>
      <c r="G54" t="s">
        <v>74</v>
      </c>
      <c r="H54" t="s">
        <v>74</v>
      </c>
      <c r="I54" t="s">
        <v>997</v>
      </c>
      <c r="J54" t="s">
        <v>937</v>
      </c>
      <c r="K54" t="s">
        <v>74</v>
      </c>
      <c r="L54" t="s">
        <v>74</v>
      </c>
      <c r="M54" t="s">
        <v>78</v>
      </c>
      <c r="N54" t="s">
        <v>79</v>
      </c>
      <c r="O54" t="s">
        <v>74</v>
      </c>
      <c r="P54" t="s">
        <v>74</v>
      </c>
      <c r="Q54" t="s">
        <v>74</v>
      </c>
      <c r="R54" t="s">
        <v>74</v>
      </c>
      <c r="S54" t="s">
        <v>74</v>
      </c>
      <c r="T54" t="s">
        <v>74</v>
      </c>
      <c r="U54" t="s">
        <v>998</v>
      </c>
      <c r="V54" t="s">
        <v>999</v>
      </c>
      <c r="W54" t="s">
        <v>1000</v>
      </c>
      <c r="X54" t="s">
        <v>1001</v>
      </c>
      <c r="Y54" t="s">
        <v>1002</v>
      </c>
      <c r="Z54" t="s">
        <v>1003</v>
      </c>
      <c r="AA54" t="s">
        <v>1004</v>
      </c>
      <c r="AB54" t="s">
        <v>1005</v>
      </c>
      <c r="AC54" t="s">
        <v>74</v>
      </c>
      <c r="AD54" t="s">
        <v>74</v>
      </c>
      <c r="AE54" t="s">
        <v>74</v>
      </c>
      <c r="AF54" t="s">
        <v>74</v>
      </c>
      <c r="AG54">
        <v>33</v>
      </c>
      <c r="AH54">
        <v>54</v>
      </c>
      <c r="AI54">
        <v>54</v>
      </c>
      <c r="AJ54">
        <v>0</v>
      </c>
      <c r="AK54">
        <v>11</v>
      </c>
      <c r="AL54" t="s">
        <v>351</v>
      </c>
      <c r="AM54" t="s">
        <v>352</v>
      </c>
      <c r="AN54" t="s">
        <v>353</v>
      </c>
      <c r="AO54" t="s">
        <v>945</v>
      </c>
      <c r="AP54" t="s">
        <v>946</v>
      </c>
      <c r="AQ54" t="s">
        <v>74</v>
      </c>
      <c r="AR54" t="s">
        <v>947</v>
      </c>
      <c r="AS54" t="s">
        <v>948</v>
      </c>
      <c r="AT54" t="s">
        <v>74</v>
      </c>
      <c r="AU54">
        <v>2007</v>
      </c>
      <c r="AV54">
        <v>3</v>
      </c>
      <c r="AW54">
        <v>3</v>
      </c>
      <c r="AX54" t="s">
        <v>74</v>
      </c>
      <c r="AY54" t="s">
        <v>74</v>
      </c>
      <c r="AZ54" t="s">
        <v>74</v>
      </c>
      <c r="BA54" t="s">
        <v>74</v>
      </c>
      <c r="BB54">
        <v>367</v>
      </c>
      <c r="BC54">
        <v>374</v>
      </c>
      <c r="BD54" t="s">
        <v>74</v>
      </c>
      <c r="BE54" t="s">
        <v>1006</v>
      </c>
      <c r="BF54" t="str">
        <f>HYPERLINK("http://dx.doi.org/10.5194/cp-3-367-2007","http://dx.doi.org/10.5194/cp-3-367-2007")</f>
        <v>http://dx.doi.org/10.5194/cp-3-367-2007</v>
      </c>
      <c r="BG54" t="s">
        <v>74</v>
      </c>
      <c r="BH54" t="s">
        <v>74</v>
      </c>
      <c r="BI54">
        <v>8</v>
      </c>
      <c r="BJ54" t="s">
        <v>950</v>
      </c>
      <c r="BK54" t="s">
        <v>97</v>
      </c>
      <c r="BL54" t="s">
        <v>951</v>
      </c>
      <c r="BM54" t="s">
        <v>1007</v>
      </c>
      <c r="BN54" t="s">
        <v>74</v>
      </c>
      <c r="BO54" t="s">
        <v>1008</v>
      </c>
      <c r="BP54" t="s">
        <v>74</v>
      </c>
      <c r="BQ54" t="s">
        <v>74</v>
      </c>
      <c r="BR54" t="s">
        <v>100</v>
      </c>
      <c r="BS54" t="s">
        <v>1009</v>
      </c>
      <c r="BT54" t="str">
        <f>HYPERLINK("https%3A%2F%2Fwww.webofscience.com%2Fwos%2Fwoscc%2Ffull-record%2FWOS:000249785600001","View Full Record in Web of Science")</f>
        <v>View Full Record in Web of Science</v>
      </c>
    </row>
    <row r="55" spans="1:72" x14ac:dyDescent="0.15">
      <c r="A55" t="s">
        <v>72</v>
      </c>
      <c r="B55" t="s">
        <v>1010</v>
      </c>
      <c r="C55" t="s">
        <v>74</v>
      </c>
      <c r="D55" t="s">
        <v>74</v>
      </c>
      <c r="E55" t="s">
        <v>74</v>
      </c>
      <c r="F55" t="s">
        <v>1011</v>
      </c>
      <c r="G55" t="s">
        <v>74</v>
      </c>
      <c r="H55" t="s">
        <v>74</v>
      </c>
      <c r="I55" t="s">
        <v>1012</v>
      </c>
      <c r="J55" t="s">
        <v>937</v>
      </c>
      <c r="K55" t="s">
        <v>74</v>
      </c>
      <c r="L55" t="s">
        <v>74</v>
      </c>
      <c r="M55" t="s">
        <v>78</v>
      </c>
      <c r="N55" t="s">
        <v>79</v>
      </c>
      <c r="O55" t="s">
        <v>74</v>
      </c>
      <c r="P55" t="s">
        <v>74</v>
      </c>
      <c r="Q55" t="s">
        <v>74</v>
      </c>
      <c r="R55" t="s">
        <v>74</v>
      </c>
      <c r="S55" t="s">
        <v>74</v>
      </c>
      <c r="T55" t="s">
        <v>74</v>
      </c>
      <c r="U55" t="s">
        <v>1013</v>
      </c>
      <c r="V55" t="s">
        <v>1014</v>
      </c>
      <c r="W55" t="s">
        <v>1015</v>
      </c>
      <c r="X55" t="s">
        <v>1016</v>
      </c>
      <c r="Y55" t="s">
        <v>1017</v>
      </c>
      <c r="Z55" t="s">
        <v>1018</v>
      </c>
      <c r="AA55" t="s">
        <v>1019</v>
      </c>
      <c r="AB55" t="s">
        <v>1020</v>
      </c>
      <c r="AC55" t="s">
        <v>74</v>
      </c>
      <c r="AD55" t="s">
        <v>74</v>
      </c>
      <c r="AE55" t="s">
        <v>74</v>
      </c>
      <c r="AF55" t="s">
        <v>74</v>
      </c>
      <c r="AG55">
        <v>44</v>
      </c>
      <c r="AH55">
        <v>8</v>
      </c>
      <c r="AI55">
        <v>10</v>
      </c>
      <c r="AJ55">
        <v>0</v>
      </c>
      <c r="AK55">
        <v>7</v>
      </c>
      <c r="AL55" t="s">
        <v>351</v>
      </c>
      <c r="AM55" t="s">
        <v>352</v>
      </c>
      <c r="AN55" t="s">
        <v>353</v>
      </c>
      <c r="AO55" t="s">
        <v>945</v>
      </c>
      <c r="AP55" t="s">
        <v>946</v>
      </c>
      <c r="AQ55" t="s">
        <v>74</v>
      </c>
      <c r="AR55" t="s">
        <v>947</v>
      </c>
      <c r="AS55" t="s">
        <v>948</v>
      </c>
      <c r="AT55" t="s">
        <v>74</v>
      </c>
      <c r="AU55">
        <v>2007</v>
      </c>
      <c r="AV55">
        <v>3</v>
      </c>
      <c r="AW55">
        <v>3</v>
      </c>
      <c r="AX55" t="s">
        <v>74</v>
      </c>
      <c r="AY55" t="s">
        <v>74</v>
      </c>
      <c r="AZ55" t="s">
        <v>74</v>
      </c>
      <c r="BA55" t="s">
        <v>74</v>
      </c>
      <c r="BB55">
        <v>387</v>
      </c>
      <c r="BC55">
        <v>396</v>
      </c>
      <c r="BD55" t="s">
        <v>74</v>
      </c>
      <c r="BE55" t="s">
        <v>1021</v>
      </c>
      <c r="BF55" t="str">
        <f>HYPERLINK("http://dx.doi.org/10.5194/cp-3-387-2007","http://dx.doi.org/10.5194/cp-3-387-2007")</f>
        <v>http://dx.doi.org/10.5194/cp-3-387-2007</v>
      </c>
      <c r="BG55" t="s">
        <v>74</v>
      </c>
      <c r="BH55" t="s">
        <v>74</v>
      </c>
      <c r="BI55">
        <v>10</v>
      </c>
      <c r="BJ55" t="s">
        <v>950</v>
      </c>
      <c r="BK55" t="s">
        <v>97</v>
      </c>
      <c r="BL55" t="s">
        <v>951</v>
      </c>
      <c r="BM55" t="s">
        <v>1007</v>
      </c>
      <c r="BN55" t="s">
        <v>74</v>
      </c>
      <c r="BO55" t="s">
        <v>337</v>
      </c>
      <c r="BP55" t="s">
        <v>74</v>
      </c>
      <c r="BQ55" t="s">
        <v>74</v>
      </c>
      <c r="BR55" t="s">
        <v>100</v>
      </c>
      <c r="BS55" t="s">
        <v>1022</v>
      </c>
      <c r="BT55" t="str">
        <f>HYPERLINK("https%3A%2F%2Fwww.webofscience.com%2Fwos%2Fwoscc%2Ffull-record%2FWOS:000249785600003","View Full Record in Web of Science")</f>
        <v>View Full Record in Web of Science</v>
      </c>
    </row>
    <row r="56" spans="1:72" x14ac:dyDescent="0.15">
      <c r="A56" t="s">
        <v>72</v>
      </c>
      <c r="B56" t="s">
        <v>1023</v>
      </c>
      <c r="C56" t="s">
        <v>74</v>
      </c>
      <c r="D56" t="s">
        <v>74</v>
      </c>
      <c r="E56" t="s">
        <v>74</v>
      </c>
      <c r="F56" t="s">
        <v>1024</v>
      </c>
      <c r="G56" t="s">
        <v>74</v>
      </c>
      <c r="H56" t="s">
        <v>74</v>
      </c>
      <c r="I56" t="s">
        <v>1025</v>
      </c>
      <c r="J56" t="s">
        <v>937</v>
      </c>
      <c r="K56" t="s">
        <v>74</v>
      </c>
      <c r="L56" t="s">
        <v>74</v>
      </c>
      <c r="M56" t="s">
        <v>78</v>
      </c>
      <c r="N56" t="s">
        <v>79</v>
      </c>
      <c r="O56" t="s">
        <v>74</v>
      </c>
      <c r="P56" t="s">
        <v>74</v>
      </c>
      <c r="Q56" t="s">
        <v>74</v>
      </c>
      <c r="R56" t="s">
        <v>74</v>
      </c>
      <c r="S56" t="s">
        <v>74</v>
      </c>
      <c r="T56" t="s">
        <v>74</v>
      </c>
      <c r="U56" t="s">
        <v>1026</v>
      </c>
      <c r="V56" t="s">
        <v>1027</v>
      </c>
      <c r="W56" t="s">
        <v>1028</v>
      </c>
      <c r="X56" t="s">
        <v>1029</v>
      </c>
      <c r="Y56" t="s">
        <v>1030</v>
      </c>
      <c r="Z56" t="s">
        <v>1031</v>
      </c>
      <c r="AA56" t="s">
        <v>1032</v>
      </c>
      <c r="AB56" t="s">
        <v>1033</v>
      </c>
      <c r="AC56" t="s">
        <v>74</v>
      </c>
      <c r="AD56" t="s">
        <v>74</v>
      </c>
      <c r="AE56" t="s">
        <v>74</v>
      </c>
      <c r="AF56" t="s">
        <v>74</v>
      </c>
      <c r="AG56">
        <v>36</v>
      </c>
      <c r="AH56">
        <v>107</v>
      </c>
      <c r="AI56">
        <v>116</v>
      </c>
      <c r="AJ56">
        <v>1</v>
      </c>
      <c r="AK56">
        <v>27</v>
      </c>
      <c r="AL56" t="s">
        <v>351</v>
      </c>
      <c r="AM56" t="s">
        <v>352</v>
      </c>
      <c r="AN56" t="s">
        <v>353</v>
      </c>
      <c r="AO56" t="s">
        <v>945</v>
      </c>
      <c r="AP56" t="s">
        <v>946</v>
      </c>
      <c r="AQ56" t="s">
        <v>74</v>
      </c>
      <c r="AR56" t="s">
        <v>947</v>
      </c>
      <c r="AS56" t="s">
        <v>948</v>
      </c>
      <c r="AT56" t="s">
        <v>74</v>
      </c>
      <c r="AU56">
        <v>2007</v>
      </c>
      <c r="AV56">
        <v>3</v>
      </c>
      <c r="AW56">
        <v>3</v>
      </c>
      <c r="AX56" t="s">
        <v>74</v>
      </c>
      <c r="AY56" t="s">
        <v>74</v>
      </c>
      <c r="AZ56" t="s">
        <v>74</v>
      </c>
      <c r="BA56" t="s">
        <v>74</v>
      </c>
      <c r="BB56">
        <v>475</v>
      </c>
      <c r="BC56">
        <v>484</v>
      </c>
      <c r="BD56" t="s">
        <v>74</v>
      </c>
      <c r="BE56" t="s">
        <v>1034</v>
      </c>
      <c r="BF56" t="str">
        <f>HYPERLINK("http://dx.doi.org/10.5194/cp-3-475-2007","http://dx.doi.org/10.5194/cp-3-475-2007")</f>
        <v>http://dx.doi.org/10.5194/cp-3-475-2007</v>
      </c>
      <c r="BG56" t="s">
        <v>74</v>
      </c>
      <c r="BH56" t="s">
        <v>74</v>
      </c>
      <c r="BI56">
        <v>10</v>
      </c>
      <c r="BJ56" t="s">
        <v>950</v>
      </c>
      <c r="BK56" t="s">
        <v>97</v>
      </c>
      <c r="BL56" t="s">
        <v>951</v>
      </c>
      <c r="BM56" t="s">
        <v>1007</v>
      </c>
      <c r="BN56" t="s">
        <v>74</v>
      </c>
      <c r="BO56" t="s">
        <v>1035</v>
      </c>
      <c r="BP56" t="s">
        <v>74</v>
      </c>
      <c r="BQ56" t="s">
        <v>74</v>
      </c>
      <c r="BR56" t="s">
        <v>100</v>
      </c>
      <c r="BS56" t="s">
        <v>1036</v>
      </c>
      <c r="BT56" t="str">
        <f>HYPERLINK("https%3A%2F%2Fwww.webofscience.com%2Fwos%2Fwoscc%2Ffull-record%2FWOS:000249785600010","View Full Record in Web of Science")</f>
        <v>View Full Record in Web of Science</v>
      </c>
    </row>
    <row r="57" spans="1:72" x14ac:dyDescent="0.15">
      <c r="A57" t="s">
        <v>72</v>
      </c>
      <c r="B57" t="s">
        <v>1037</v>
      </c>
      <c r="C57" t="s">
        <v>74</v>
      </c>
      <c r="D57" t="s">
        <v>74</v>
      </c>
      <c r="E57" t="s">
        <v>74</v>
      </c>
      <c r="F57" t="s">
        <v>1038</v>
      </c>
      <c r="G57" t="s">
        <v>74</v>
      </c>
      <c r="H57" t="s">
        <v>74</v>
      </c>
      <c r="I57" t="s">
        <v>1039</v>
      </c>
      <c r="J57" t="s">
        <v>937</v>
      </c>
      <c r="K57" t="s">
        <v>74</v>
      </c>
      <c r="L57" t="s">
        <v>74</v>
      </c>
      <c r="M57" t="s">
        <v>78</v>
      </c>
      <c r="N57" t="s">
        <v>79</v>
      </c>
      <c r="O57" t="s">
        <v>74</v>
      </c>
      <c r="P57" t="s">
        <v>74</v>
      </c>
      <c r="Q57" t="s">
        <v>74</v>
      </c>
      <c r="R57" t="s">
        <v>74</v>
      </c>
      <c r="S57" t="s">
        <v>74</v>
      </c>
      <c r="T57" t="s">
        <v>74</v>
      </c>
      <c r="U57" t="s">
        <v>1040</v>
      </c>
      <c r="V57" t="s">
        <v>1041</v>
      </c>
      <c r="W57" t="s">
        <v>1042</v>
      </c>
      <c r="X57" t="s">
        <v>1043</v>
      </c>
      <c r="Y57" t="s">
        <v>1044</v>
      </c>
      <c r="Z57" t="s">
        <v>1045</v>
      </c>
      <c r="AA57" t="s">
        <v>1046</v>
      </c>
      <c r="AB57" t="s">
        <v>1047</v>
      </c>
      <c r="AC57" t="s">
        <v>74</v>
      </c>
      <c r="AD57" t="s">
        <v>74</v>
      </c>
      <c r="AE57" t="s">
        <v>74</v>
      </c>
      <c r="AF57" t="s">
        <v>74</v>
      </c>
      <c r="AG57">
        <v>72</v>
      </c>
      <c r="AH57">
        <v>310</v>
      </c>
      <c r="AI57">
        <v>340</v>
      </c>
      <c r="AJ57">
        <v>2</v>
      </c>
      <c r="AK57">
        <v>71</v>
      </c>
      <c r="AL57" t="s">
        <v>351</v>
      </c>
      <c r="AM57" t="s">
        <v>352</v>
      </c>
      <c r="AN57" t="s">
        <v>353</v>
      </c>
      <c r="AO57" t="s">
        <v>945</v>
      </c>
      <c r="AP57" t="s">
        <v>946</v>
      </c>
      <c r="AQ57" t="s">
        <v>74</v>
      </c>
      <c r="AR57" t="s">
        <v>947</v>
      </c>
      <c r="AS57" t="s">
        <v>948</v>
      </c>
      <c r="AT57" t="s">
        <v>74</v>
      </c>
      <c r="AU57">
        <v>2007</v>
      </c>
      <c r="AV57">
        <v>3</v>
      </c>
      <c r="AW57">
        <v>3</v>
      </c>
      <c r="AX57" t="s">
        <v>74</v>
      </c>
      <c r="AY57" t="s">
        <v>74</v>
      </c>
      <c r="AZ57" t="s">
        <v>74</v>
      </c>
      <c r="BA57" t="s">
        <v>74</v>
      </c>
      <c r="BB57">
        <v>485</v>
      </c>
      <c r="BC57">
        <v>497</v>
      </c>
      <c r="BD57" t="s">
        <v>74</v>
      </c>
      <c r="BE57" t="s">
        <v>1048</v>
      </c>
      <c r="BF57" t="str">
        <f>HYPERLINK("http://dx.doi.org/10.5194/cp-3-485-2007","http://dx.doi.org/10.5194/cp-3-485-2007")</f>
        <v>http://dx.doi.org/10.5194/cp-3-485-2007</v>
      </c>
      <c r="BG57" t="s">
        <v>74</v>
      </c>
      <c r="BH57" t="s">
        <v>74</v>
      </c>
      <c r="BI57">
        <v>13</v>
      </c>
      <c r="BJ57" t="s">
        <v>950</v>
      </c>
      <c r="BK57" t="s">
        <v>97</v>
      </c>
      <c r="BL57" t="s">
        <v>951</v>
      </c>
      <c r="BM57" t="s">
        <v>1007</v>
      </c>
      <c r="BN57" t="s">
        <v>74</v>
      </c>
      <c r="BO57" t="s">
        <v>1049</v>
      </c>
      <c r="BP57" t="s">
        <v>74</v>
      </c>
      <c r="BQ57" t="s">
        <v>74</v>
      </c>
      <c r="BR57" t="s">
        <v>100</v>
      </c>
      <c r="BS57" t="s">
        <v>1050</v>
      </c>
      <c r="BT57" t="str">
        <f>HYPERLINK("https%3A%2F%2Fwww.webofscience.com%2Fwos%2Fwoscc%2Ffull-record%2FWOS:000249785600011","View Full Record in Web of Science")</f>
        <v>View Full Record in Web of Science</v>
      </c>
    </row>
    <row r="58" spans="1:72" x14ac:dyDescent="0.15">
      <c r="A58" t="s">
        <v>72</v>
      </c>
      <c r="B58" t="s">
        <v>1051</v>
      </c>
      <c r="C58" t="s">
        <v>74</v>
      </c>
      <c r="D58" t="s">
        <v>74</v>
      </c>
      <c r="E58" t="s">
        <v>74</v>
      </c>
      <c r="F58" t="s">
        <v>1052</v>
      </c>
      <c r="G58" t="s">
        <v>74</v>
      </c>
      <c r="H58" t="s">
        <v>74</v>
      </c>
      <c r="I58" t="s">
        <v>1053</v>
      </c>
      <c r="J58" t="s">
        <v>937</v>
      </c>
      <c r="K58" t="s">
        <v>74</v>
      </c>
      <c r="L58" t="s">
        <v>74</v>
      </c>
      <c r="M58" t="s">
        <v>78</v>
      </c>
      <c r="N58" t="s">
        <v>79</v>
      </c>
      <c r="O58" t="s">
        <v>74</v>
      </c>
      <c r="P58" t="s">
        <v>74</v>
      </c>
      <c r="Q58" t="s">
        <v>74</v>
      </c>
      <c r="R58" t="s">
        <v>74</v>
      </c>
      <c r="S58" t="s">
        <v>74</v>
      </c>
      <c r="T58" t="s">
        <v>74</v>
      </c>
      <c r="U58" t="s">
        <v>1054</v>
      </c>
      <c r="V58" t="s">
        <v>1055</v>
      </c>
      <c r="W58" t="s">
        <v>1056</v>
      </c>
      <c r="X58" t="s">
        <v>1057</v>
      </c>
      <c r="Y58" t="s">
        <v>1058</v>
      </c>
      <c r="Z58" t="s">
        <v>1059</v>
      </c>
      <c r="AA58" t="s">
        <v>1060</v>
      </c>
      <c r="AB58" t="s">
        <v>1061</v>
      </c>
      <c r="AC58" t="s">
        <v>74</v>
      </c>
      <c r="AD58" t="s">
        <v>74</v>
      </c>
      <c r="AE58" t="s">
        <v>74</v>
      </c>
      <c r="AF58" t="s">
        <v>74</v>
      </c>
      <c r="AG58">
        <v>68</v>
      </c>
      <c r="AH58">
        <v>66</v>
      </c>
      <c r="AI58">
        <v>74</v>
      </c>
      <c r="AJ58">
        <v>1</v>
      </c>
      <c r="AK58">
        <v>25</v>
      </c>
      <c r="AL58" t="s">
        <v>351</v>
      </c>
      <c r="AM58" t="s">
        <v>352</v>
      </c>
      <c r="AN58" t="s">
        <v>353</v>
      </c>
      <c r="AO58" t="s">
        <v>945</v>
      </c>
      <c r="AP58" t="s">
        <v>946</v>
      </c>
      <c r="AQ58" t="s">
        <v>74</v>
      </c>
      <c r="AR58" t="s">
        <v>947</v>
      </c>
      <c r="AS58" t="s">
        <v>948</v>
      </c>
      <c r="AT58" t="s">
        <v>74</v>
      </c>
      <c r="AU58">
        <v>2007</v>
      </c>
      <c r="AV58">
        <v>3</v>
      </c>
      <c r="AW58">
        <v>3</v>
      </c>
      <c r="AX58" t="s">
        <v>74</v>
      </c>
      <c r="AY58" t="s">
        <v>74</v>
      </c>
      <c r="AZ58" t="s">
        <v>74</v>
      </c>
      <c r="BA58" t="s">
        <v>74</v>
      </c>
      <c r="BB58">
        <v>527</v>
      </c>
      <c r="BC58">
        <v>540</v>
      </c>
      <c r="BD58" t="s">
        <v>74</v>
      </c>
      <c r="BE58" t="s">
        <v>1062</v>
      </c>
      <c r="BF58" t="str">
        <f>HYPERLINK("http://dx.doi.org/10.5194/cp-3-527-2007","http://dx.doi.org/10.5194/cp-3-527-2007")</f>
        <v>http://dx.doi.org/10.5194/cp-3-527-2007</v>
      </c>
      <c r="BG58" t="s">
        <v>74</v>
      </c>
      <c r="BH58" t="s">
        <v>74</v>
      </c>
      <c r="BI58">
        <v>14</v>
      </c>
      <c r="BJ58" t="s">
        <v>950</v>
      </c>
      <c r="BK58" t="s">
        <v>97</v>
      </c>
      <c r="BL58" t="s">
        <v>951</v>
      </c>
      <c r="BM58" t="s">
        <v>1007</v>
      </c>
      <c r="BN58" t="s">
        <v>74</v>
      </c>
      <c r="BO58" t="s">
        <v>1063</v>
      </c>
      <c r="BP58" t="s">
        <v>74</v>
      </c>
      <c r="BQ58" t="s">
        <v>74</v>
      </c>
      <c r="BR58" t="s">
        <v>100</v>
      </c>
      <c r="BS58" t="s">
        <v>1064</v>
      </c>
      <c r="BT58" t="str">
        <f>HYPERLINK("https%3A%2F%2Fwww.webofscience.com%2Fwos%2Fwoscc%2Ffull-record%2FWOS:000249785600014","View Full Record in Web of Science")</f>
        <v>View Full Record in Web of Science</v>
      </c>
    </row>
    <row r="59" spans="1:72" x14ac:dyDescent="0.15">
      <c r="A59" t="s">
        <v>72</v>
      </c>
      <c r="B59" t="s">
        <v>1065</v>
      </c>
      <c r="C59" t="s">
        <v>74</v>
      </c>
      <c r="D59" t="s">
        <v>74</v>
      </c>
      <c r="E59" t="s">
        <v>74</v>
      </c>
      <c r="F59" t="s">
        <v>1066</v>
      </c>
      <c r="G59" t="s">
        <v>74</v>
      </c>
      <c r="H59" t="s">
        <v>74</v>
      </c>
      <c r="I59" t="s">
        <v>1067</v>
      </c>
      <c r="J59" t="s">
        <v>937</v>
      </c>
      <c r="K59" t="s">
        <v>74</v>
      </c>
      <c r="L59" t="s">
        <v>74</v>
      </c>
      <c r="M59" t="s">
        <v>78</v>
      </c>
      <c r="N59" t="s">
        <v>79</v>
      </c>
      <c r="O59" t="s">
        <v>74</v>
      </c>
      <c r="P59" t="s">
        <v>74</v>
      </c>
      <c r="Q59" t="s">
        <v>74</v>
      </c>
      <c r="R59" t="s">
        <v>74</v>
      </c>
      <c r="S59" t="s">
        <v>74</v>
      </c>
      <c r="T59" t="s">
        <v>74</v>
      </c>
      <c r="U59" t="s">
        <v>1068</v>
      </c>
      <c r="V59" t="s">
        <v>1069</v>
      </c>
      <c r="W59" t="s">
        <v>1070</v>
      </c>
      <c r="X59" t="s">
        <v>1071</v>
      </c>
      <c r="Y59" t="s">
        <v>1072</v>
      </c>
      <c r="Z59" t="s">
        <v>1073</v>
      </c>
      <c r="AA59" t="s">
        <v>1074</v>
      </c>
      <c r="AB59" t="s">
        <v>74</v>
      </c>
      <c r="AC59" t="s">
        <v>74</v>
      </c>
      <c r="AD59" t="s">
        <v>74</v>
      </c>
      <c r="AE59" t="s">
        <v>74</v>
      </c>
      <c r="AF59" t="s">
        <v>74</v>
      </c>
      <c r="AG59">
        <v>42</v>
      </c>
      <c r="AH59">
        <v>59</v>
      </c>
      <c r="AI59">
        <v>67</v>
      </c>
      <c r="AJ59">
        <v>0</v>
      </c>
      <c r="AK59">
        <v>17</v>
      </c>
      <c r="AL59" t="s">
        <v>351</v>
      </c>
      <c r="AM59" t="s">
        <v>352</v>
      </c>
      <c r="AN59" t="s">
        <v>353</v>
      </c>
      <c r="AO59" t="s">
        <v>945</v>
      </c>
      <c r="AP59" t="s">
        <v>946</v>
      </c>
      <c r="AQ59" t="s">
        <v>74</v>
      </c>
      <c r="AR59" t="s">
        <v>947</v>
      </c>
      <c r="AS59" t="s">
        <v>948</v>
      </c>
      <c r="AT59" t="s">
        <v>74</v>
      </c>
      <c r="AU59">
        <v>2007</v>
      </c>
      <c r="AV59">
        <v>3</v>
      </c>
      <c r="AW59">
        <v>3</v>
      </c>
      <c r="AX59" t="s">
        <v>74</v>
      </c>
      <c r="AY59" t="s">
        <v>74</v>
      </c>
      <c r="AZ59" t="s">
        <v>74</v>
      </c>
      <c r="BA59" t="s">
        <v>74</v>
      </c>
      <c r="BB59">
        <v>541</v>
      </c>
      <c r="BC59">
        <v>547</v>
      </c>
      <c r="BD59" t="s">
        <v>74</v>
      </c>
      <c r="BE59" t="s">
        <v>1075</v>
      </c>
      <c r="BF59" t="str">
        <f>HYPERLINK("http://dx.doi.org/10.5194/cp-3-541-2007","http://dx.doi.org/10.5194/cp-3-541-2007")</f>
        <v>http://dx.doi.org/10.5194/cp-3-541-2007</v>
      </c>
      <c r="BG59" t="s">
        <v>74</v>
      </c>
      <c r="BH59" t="s">
        <v>74</v>
      </c>
      <c r="BI59">
        <v>7</v>
      </c>
      <c r="BJ59" t="s">
        <v>950</v>
      </c>
      <c r="BK59" t="s">
        <v>97</v>
      </c>
      <c r="BL59" t="s">
        <v>951</v>
      </c>
      <c r="BM59" t="s">
        <v>1007</v>
      </c>
      <c r="BN59" t="s">
        <v>74</v>
      </c>
      <c r="BO59" t="s">
        <v>1063</v>
      </c>
      <c r="BP59" t="s">
        <v>74</v>
      </c>
      <c r="BQ59" t="s">
        <v>74</v>
      </c>
      <c r="BR59" t="s">
        <v>100</v>
      </c>
      <c r="BS59" t="s">
        <v>1076</v>
      </c>
      <c r="BT59" t="str">
        <f>HYPERLINK("https%3A%2F%2Fwww.webofscience.com%2Fwos%2Fwoscc%2Ffull-record%2FWOS:000249785600015","View Full Record in Web of Science")</f>
        <v>View Full Record in Web of Science</v>
      </c>
    </row>
    <row r="60" spans="1:72" x14ac:dyDescent="0.15">
      <c r="A60" t="s">
        <v>72</v>
      </c>
      <c r="B60" t="s">
        <v>1077</v>
      </c>
      <c r="C60" t="s">
        <v>74</v>
      </c>
      <c r="D60" t="s">
        <v>74</v>
      </c>
      <c r="E60" t="s">
        <v>74</v>
      </c>
      <c r="F60" t="s">
        <v>1078</v>
      </c>
      <c r="G60" t="s">
        <v>74</v>
      </c>
      <c r="H60" t="s">
        <v>74</v>
      </c>
      <c r="I60" t="s">
        <v>1079</v>
      </c>
      <c r="J60" t="s">
        <v>937</v>
      </c>
      <c r="K60" t="s">
        <v>74</v>
      </c>
      <c r="L60" t="s">
        <v>74</v>
      </c>
      <c r="M60" t="s">
        <v>78</v>
      </c>
      <c r="N60" t="s">
        <v>79</v>
      </c>
      <c r="O60" t="s">
        <v>74</v>
      </c>
      <c r="P60" t="s">
        <v>74</v>
      </c>
      <c r="Q60" t="s">
        <v>74</v>
      </c>
      <c r="R60" t="s">
        <v>74</v>
      </c>
      <c r="S60" t="s">
        <v>74</v>
      </c>
      <c r="T60" t="s">
        <v>74</v>
      </c>
      <c r="U60" t="s">
        <v>1080</v>
      </c>
      <c r="V60" t="s">
        <v>1081</v>
      </c>
      <c r="W60" t="s">
        <v>1082</v>
      </c>
      <c r="X60" t="s">
        <v>1083</v>
      </c>
      <c r="Y60" t="s">
        <v>1084</v>
      </c>
      <c r="Z60" t="s">
        <v>1085</v>
      </c>
      <c r="AA60" t="s">
        <v>1086</v>
      </c>
      <c r="AB60" t="s">
        <v>1087</v>
      </c>
      <c r="AC60" t="s">
        <v>74</v>
      </c>
      <c r="AD60" t="s">
        <v>74</v>
      </c>
      <c r="AE60" t="s">
        <v>74</v>
      </c>
      <c r="AF60" t="s">
        <v>74</v>
      </c>
      <c r="AG60">
        <v>44</v>
      </c>
      <c r="AH60">
        <v>45</v>
      </c>
      <c r="AI60">
        <v>50</v>
      </c>
      <c r="AJ60">
        <v>2</v>
      </c>
      <c r="AK60">
        <v>11</v>
      </c>
      <c r="AL60" t="s">
        <v>351</v>
      </c>
      <c r="AM60" t="s">
        <v>352</v>
      </c>
      <c r="AN60" t="s">
        <v>353</v>
      </c>
      <c r="AO60" t="s">
        <v>945</v>
      </c>
      <c r="AP60" t="s">
        <v>946</v>
      </c>
      <c r="AQ60" t="s">
        <v>74</v>
      </c>
      <c r="AR60" t="s">
        <v>947</v>
      </c>
      <c r="AS60" t="s">
        <v>948</v>
      </c>
      <c r="AT60" t="s">
        <v>74</v>
      </c>
      <c r="AU60">
        <v>2007</v>
      </c>
      <c r="AV60">
        <v>3</v>
      </c>
      <c r="AW60">
        <v>4</v>
      </c>
      <c r="AX60" t="s">
        <v>74</v>
      </c>
      <c r="AY60" t="s">
        <v>74</v>
      </c>
      <c r="AZ60" t="s">
        <v>74</v>
      </c>
      <c r="BA60" t="s">
        <v>74</v>
      </c>
      <c r="BB60">
        <v>577</v>
      </c>
      <c r="BC60">
        <v>589</v>
      </c>
      <c r="BD60" t="s">
        <v>74</v>
      </c>
      <c r="BE60" t="s">
        <v>1088</v>
      </c>
      <c r="BF60" t="str">
        <f>HYPERLINK("http://dx.doi.org/10.5194/cp-3-577-2007","http://dx.doi.org/10.5194/cp-3-577-2007")</f>
        <v>http://dx.doi.org/10.5194/cp-3-577-2007</v>
      </c>
      <c r="BG60" t="s">
        <v>74</v>
      </c>
      <c r="BH60" t="s">
        <v>74</v>
      </c>
      <c r="BI60">
        <v>13</v>
      </c>
      <c r="BJ60" t="s">
        <v>950</v>
      </c>
      <c r="BK60" t="s">
        <v>97</v>
      </c>
      <c r="BL60" t="s">
        <v>951</v>
      </c>
      <c r="BM60" t="s">
        <v>1089</v>
      </c>
      <c r="BN60" t="s">
        <v>74</v>
      </c>
      <c r="BO60" t="s">
        <v>337</v>
      </c>
      <c r="BP60" t="s">
        <v>74</v>
      </c>
      <c r="BQ60" t="s">
        <v>74</v>
      </c>
      <c r="BR60" t="s">
        <v>100</v>
      </c>
      <c r="BS60" t="s">
        <v>1090</v>
      </c>
      <c r="BT60" t="str">
        <f>HYPERLINK("https%3A%2F%2Fwww.webofscience.com%2Fwos%2Fwoscc%2Ffull-record%2FWOS:000251998800002","View Full Record in Web of Science")</f>
        <v>View Full Record in Web of Science</v>
      </c>
    </row>
    <row r="61" spans="1:72" x14ac:dyDescent="0.15">
      <c r="A61" t="s">
        <v>241</v>
      </c>
      <c r="B61" t="s">
        <v>1091</v>
      </c>
      <c r="C61" t="s">
        <v>74</v>
      </c>
      <c r="D61" t="s">
        <v>1092</v>
      </c>
      <c r="E61" t="s">
        <v>74</v>
      </c>
      <c r="F61" t="s">
        <v>1093</v>
      </c>
      <c r="G61" t="s">
        <v>74</v>
      </c>
      <c r="H61" t="s">
        <v>74</v>
      </c>
      <c r="I61" t="s">
        <v>1094</v>
      </c>
      <c r="J61" t="s">
        <v>1095</v>
      </c>
      <c r="K61" t="s">
        <v>1096</v>
      </c>
      <c r="L61" t="s">
        <v>74</v>
      </c>
      <c r="M61" t="s">
        <v>78</v>
      </c>
      <c r="N61" t="s">
        <v>248</v>
      </c>
      <c r="O61" t="s">
        <v>1097</v>
      </c>
      <c r="P61" t="s">
        <v>1098</v>
      </c>
      <c r="Q61" t="s">
        <v>1099</v>
      </c>
      <c r="R61" t="s">
        <v>74</v>
      </c>
      <c r="S61" t="s">
        <v>74</v>
      </c>
      <c r="T61" t="s">
        <v>1100</v>
      </c>
      <c r="U61" t="s">
        <v>1101</v>
      </c>
      <c r="V61" t="s">
        <v>1102</v>
      </c>
      <c r="W61" t="s">
        <v>1103</v>
      </c>
      <c r="X61" t="s">
        <v>1104</v>
      </c>
      <c r="Y61" t="s">
        <v>1105</v>
      </c>
      <c r="Z61" t="s">
        <v>74</v>
      </c>
      <c r="AA61" t="s">
        <v>1106</v>
      </c>
      <c r="AB61" t="s">
        <v>1107</v>
      </c>
      <c r="AC61" t="s">
        <v>1108</v>
      </c>
      <c r="AD61" t="s">
        <v>1109</v>
      </c>
      <c r="AE61" t="s">
        <v>1110</v>
      </c>
      <c r="AF61" t="s">
        <v>74</v>
      </c>
      <c r="AG61">
        <v>71</v>
      </c>
      <c r="AH61">
        <v>3</v>
      </c>
      <c r="AI61">
        <v>3</v>
      </c>
      <c r="AJ61">
        <v>0</v>
      </c>
      <c r="AK61">
        <v>3</v>
      </c>
      <c r="AL61" t="s">
        <v>1111</v>
      </c>
      <c r="AM61" t="s">
        <v>1112</v>
      </c>
      <c r="AN61" t="s">
        <v>1113</v>
      </c>
      <c r="AO61" t="s">
        <v>1114</v>
      </c>
      <c r="AP61" t="s">
        <v>74</v>
      </c>
      <c r="AQ61" t="s">
        <v>1115</v>
      </c>
      <c r="AR61" t="s">
        <v>1116</v>
      </c>
      <c r="AS61" t="s">
        <v>74</v>
      </c>
      <c r="AT61" t="s">
        <v>74</v>
      </c>
      <c r="AU61">
        <v>2007</v>
      </c>
      <c r="AV61">
        <v>426</v>
      </c>
      <c r="AW61" t="s">
        <v>74</v>
      </c>
      <c r="AX61" t="s">
        <v>74</v>
      </c>
      <c r="AY61" t="s">
        <v>74</v>
      </c>
      <c r="AZ61" t="s">
        <v>74</v>
      </c>
      <c r="BA61" t="s">
        <v>74</v>
      </c>
      <c r="BB61">
        <v>89</v>
      </c>
      <c r="BC61">
        <v>96</v>
      </c>
      <c r="BD61" t="s">
        <v>74</v>
      </c>
      <c r="BE61" t="s">
        <v>1117</v>
      </c>
      <c r="BF61" t="str">
        <f>HYPERLINK("http://dx.doi.org/10.1130/2007.2426(06)","http://dx.doi.org/10.1130/2007.2426(06)")</f>
        <v>http://dx.doi.org/10.1130/2007.2426(06)</v>
      </c>
      <c r="BG61" t="s">
        <v>74</v>
      </c>
      <c r="BH61" t="s">
        <v>74</v>
      </c>
      <c r="BI61">
        <v>8</v>
      </c>
      <c r="BJ61" t="s">
        <v>1118</v>
      </c>
      <c r="BK61" t="s">
        <v>266</v>
      </c>
      <c r="BL61" t="s">
        <v>1119</v>
      </c>
      <c r="BM61" t="s">
        <v>1120</v>
      </c>
      <c r="BN61" t="s">
        <v>74</v>
      </c>
      <c r="BO61" t="s">
        <v>74</v>
      </c>
      <c r="BP61" t="s">
        <v>74</v>
      </c>
      <c r="BQ61" t="s">
        <v>74</v>
      </c>
      <c r="BR61" t="s">
        <v>100</v>
      </c>
      <c r="BS61" t="s">
        <v>1121</v>
      </c>
      <c r="BT61" t="str">
        <f>HYPERLINK("https%3A%2F%2Fwww.webofscience.com%2Fwos%2Fwoscc%2Ffull-record%2FWOS:000272080100006","View Full Record in Web of Science")</f>
        <v>View Full Record in Web of Science</v>
      </c>
    </row>
    <row r="62" spans="1:72" x14ac:dyDescent="0.15">
      <c r="A62" t="s">
        <v>72</v>
      </c>
      <c r="B62" t="s">
        <v>1122</v>
      </c>
      <c r="C62" t="s">
        <v>74</v>
      </c>
      <c r="D62" t="s">
        <v>74</v>
      </c>
      <c r="E62" t="s">
        <v>74</v>
      </c>
      <c r="F62" t="s">
        <v>1123</v>
      </c>
      <c r="G62" t="s">
        <v>74</v>
      </c>
      <c r="H62" t="s">
        <v>74</v>
      </c>
      <c r="I62" t="s">
        <v>1124</v>
      </c>
      <c r="J62" t="s">
        <v>1125</v>
      </c>
      <c r="K62" t="s">
        <v>74</v>
      </c>
      <c r="L62" t="s">
        <v>74</v>
      </c>
      <c r="M62" t="s">
        <v>78</v>
      </c>
      <c r="N62" t="s">
        <v>79</v>
      </c>
      <c r="O62" t="s">
        <v>74</v>
      </c>
      <c r="P62" t="s">
        <v>74</v>
      </c>
      <c r="Q62" t="s">
        <v>74</v>
      </c>
      <c r="R62" t="s">
        <v>74</v>
      </c>
      <c r="S62" t="s">
        <v>74</v>
      </c>
      <c r="T62" t="s">
        <v>74</v>
      </c>
      <c r="U62" t="s">
        <v>1126</v>
      </c>
      <c r="V62" t="s">
        <v>1127</v>
      </c>
      <c r="W62" t="s">
        <v>1128</v>
      </c>
      <c r="X62" t="s">
        <v>1129</v>
      </c>
      <c r="Y62" t="s">
        <v>1130</v>
      </c>
      <c r="Z62" t="s">
        <v>1131</v>
      </c>
      <c r="AA62" t="s">
        <v>74</v>
      </c>
      <c r="AB62" t="s">
        <v>1132</v>
      </c>
      <c r="AC62" t="s">
        <v>74</v>
      </c>
      <c r="AD62" t="s">
        <v>74</v>
      </c>
      <c r="AE62" t="s">
        <v>74</v>
      </c>
      <c r="AF62" t="s">
        <v>74</v>
      </c>
      <c r="AG62">
        <v>36</v>
      </c>
      <c r="AH62">
        <v>7</v>
      </c>
      <c r="AI62">
        <v>8</v>
      </c>
      <c r="AJ62">
        <v>0</v>
      </c>
      <c r="AK62">
        <v>5</v>
      </c>
      <c r="AL62" t="s">
        <v>1133</v>
      </c>
      <c r="AM62" t="s">
        <v>1134</v>
      </c>
      <c r="AN62" t="s">
        <v>1135</v>
      </c>
      <c r="AO62" t="s">
        <v>1136</v>
      </c>
      <c r="AP62" t="s">
        <v>74</v>
      </c>
      <c r="AQ62" t="s">
        <v>74</v>
      </c>
      <c r="AR62" t="s">
        <v>1137</v>
      </c>
      <c r="AS62" t="s">
        <v>1138</v>
      </c>
      <c r="AT62" t="s">
        <v>166</v>
      </c>
      <c r="AU62">
        <v>2007</v>
      </c>
      <c r="AV62">
        <v>9</v>
      </c>
      <c r="AW62">
        <v>1</v>
      </c>
      <c r="AX62" t="s">
        <v>74</v>
      </c>
      <c r="AY62" t="s">
        <v>74</v>
      </c>
      <c r="AZ62" t="s">
        <v>74</v>
      </c>
      <c r="BA62" t="s">
        <v>74</v>
      </c>
      <c r="BB62">
        <v>58</v>
      </c>
      <c r="BC62">
        <v>71</v>
      </c>
      <c r="BD62" t="s">
        <v>74</v>
      </c>
      <c r="BE62" t="s">
        <v>1139</v>
      </c>
      <c r="BF62" t="str">
        <f>HYPERLINK("http://dx.doi.org/10.1109/MCSE.2007.16","http://dx.doi.org/10.1109/MCSE.2007.16")</f>
        <v>http://dx.doi.org/10.1109/MCSE.2007.16</v>
      </c>
      <c r="BG62" t="s">
        <v>74</v>
      </c>
      <c r="BH62" t="s">
        <v>74</v>
      </c>
      <c r="BI62">
        <v>14</v>
      </c>
      <c r="BJ62" t="s">
        <v>1140</v>
      </c>
      <c r="BK62" t="s">
        <v>97</v>
      </c>
      <c r="BL62" t="s">
        <v>1141</v>
      </c>
      <c r="BM62" t="s">
        <v>1142</v>
      </c>
      <c r="BN62" t="s">
        <v>74</v>
      </c>
      <c r="BO62" t="s">
        <v>74</v>
      </c>
      <c r="BP62" t="s">
        <v>74</v>
      </c>
      <c r="BQ62" t="s">
        <v>74</v>
      </c>
      <c r="BR62" t="s">
        <v>100</v>
      </c>
      <c r="BS62" t="s">
        <v>1143</v>
      </c>
      <c r="BT62" t="str">
        <f>HYPERLINK("https%3A%2F%2Fwww.webofscience.com%2Fwos%2Fwoscc%2Ffull-record%2FWOS:000242997800010","View Full Record in Web of Science")</f>
        <v>View Full Record in Web of Science</v>
      </c>
    </row>
    <row r="63" spans="1:72" x14ac:dyDescent="0.15">
      <c r="A63" t="s">
        <v>72</v>
      </c>
      <c r="B63" t="s">
        <v>1144</v>
      </c>
      <c r="C63" t="s">
        <v>74</v>
      </c>
      <c r="D63" t="s">
        <v>74</v>
      </c>
      <c r="E63" t="s">
        <v>74</v>
      </c>
      <c r="F63" t="s">
        <v>1145</v>
      </c>
      <c r="G63" t="s">
        <v>74</v>
      </c>
      <c r="H63" t="s">
        <v>74</v>
      </c>
      <c r="I63" t="s">
        <v>1146</v>
      </c>
      <c r="J63" t="s">
        <v>1147</v>
      </c>
      <c r="K63" t="s">
        <v>74</v>
      </c>
      <c r="L63" t="s">
        <v>74</v>
      </c>
      <c r="M63" t="s">
        <v>78</v>
      </c>
      <c r="N63" t="s">
        <v>79</v>
      </c>
      <c r="O63" t="s">
        <v>74</v>
      </c>
      <c r="P63" t="s">
        <v>74</v>
      </c>
      <c r="Q63" t="s">
        <v>74</v>
      </c>
      <c r="R63" t="s">
        <v>74</v>
      </c>
      <c r="S63" t="s">
        <v>74</v>
      </c>
      <c r="T63" t="s">
        <v>1148</v>
      </c>
      <c r="U63" t="s">
        <v>1149</v>
      </c>
      <c r="V63" t="s">
        <v>1150</v>
      </c>
      <c r="W63" t="s">
        <v>1151</v>
      </c>
      <c r="X63" t="s">
        <v>1152</v>
      </c>
      <c r="Y63" t="s">
        <v>1153</v>
      </c>
      <c r="Z63" t="s">
        <v>1154</v>
      </c>
      <c r="AA63" t="s">
        <v>1155</v>
      </c>
      <c r="AB63" t="s">
        <v>74</v>
      </c>
      <c r="AC63" t="s">
        <v>74</v>
      </c>
      <c r="AD63" t="s">
        <v>74</v>
      </c>
      <c r="AE63" t="s">
        <v>74</v>
      </c>
      <c r="AF63" t="s">
        <v>74</v>
      </c>
      <c r="AG63">
        <v>76</v>
      </c>
      <c r="AH63">
        <v>25</v>
      </c>
      <c r="AI63">
        <v>29</v>
      </c>
      <c r="AJ63">
        <v>1</v>
      </c>
      <c r="AK63">
        <v>23</v>
      </c>
      <c r="AL63" t="s">
        <v>613</v>
      </c>
      <c r="AM63" t="s">
        <v>614</v>
      </c>
      <c r="AN63" t="s">
        <v>1156</v>
      </c>
      <c r="AO63" t="s">
        <v>1157</v>
      </c>
      <c r="AP63" t="s">
        <v>1158</v>
      </c>
      <c r="AQ63" t="s">
        <v>74</v>
      </c>
      <c r="AR63" t="s">
        <v>1159</v>
      </c>
      <c r="AS63" t="s">
        <v>1160</v>
      </c>
      <c r="AT63" t="s">
        <v>74</v>
      </c>
      <c r="AU63">
        <v>2007</v>
      </c>
      <c r="AV63">
        <v>8</v>
      </c>
      <c r="AW63">
        <v>5</v>
      </c>
      <c r="AX63" t="s">
        <v>74</v>
      </c>
      <c r="AY63" t="s">
        <v>74</v>
      </c>
      <c r="AZ63" t="s">
        <v>74</v>
      </c>
      <c r="BA63" t="s">
        <v>74</v>
      </c>
      <c r="BB63">
        <v>1133</v>
      </c>
      <c r="BC63">
        <v>1145</v>
      </c>
      <c r="BD63" t="s">
        <v>74</v>
      </c>
      <c r="BE63" t="s">
        <v>1161</v>
      </c>
      <c r="BF63" t="str">
        <f>HYPERLINK("http://dx.doi.org/10.1007/s10592-006-9269-8","http://dx.doi.org/10.1007/s10592-006-9269-8")</f>
        <v>http://dx.doi.org/10.1007/s10592-006-9269-8</v>
      </c>
      <c r="BG63" t="s">
        <v>74</v>
      </c>
      <c r="BH63" t="s">
        <v>74</v>
      </c>
      <c r="BI63">
        <v>13</v>
      </c>
      <c r="BJ63" t="s">
        <v>1162</v>
      </c>
      <c r="BK63" t="s">
        <v>97</v>
      </c>
      <c r="BL63" t="s">
        <v>1163</v>
      </c>
      <c r="BM63" t="s">
        <v>1164</v>
      </c>
      <c r="BN63" t="s">
        <v>74</v>
      </c>
      <c r="BO63" t="s">
        <v>74</v>
      </c>
      <c r="BP63" t="s">
        <v>74</v>
      </c>
      <c r="BQ63" t="s">
        <v>74</v>
      </c>
      <c r="BR63" t="s">
        <v>100</v>
      </c>
      <c r="BS63" t="s">
        <v>1165</v>
      </c>
      <c r="BT63" t="str">
        <f>HYPERLINK("https%3A%2F%2Fwww.webofscience.com%2Fwos%2Fwoscc%2Ffull-record%2FWOS:000248850700012","View Full Record in Web of Science")</f>
        <v>View Full Record in Web of Science</v>
      </c>
    </row>
    <row r="64" spans="1:72" x14ac:dyDescent="0.15">
      <c r="A64" t="s">
        <v>888</v>
      </c>
      <c r="B64" t="s">
        <v>1166</v>
      </c>
      <c r="C64" t="s">
        <v>74</v>
      </c>
      <c r="D64" t="s">
        <v>1167</v>
      </c>
      <c r="E64" t="s">
        <v>74</v>
      </c>
      <c r="F64" t="s">
        <v>1168</v>
      </c>
      <c r="G64" t="s">
        <v>74</v>
      </c>
      <c r="H64" t="s">
        <v>74</v>
      </c>
      <c r="I64" t="s">
        <v>1169</v>
      </c>
      <c r="J64" t="s">
        <v>1170</v>
      </c>
      <c r="K64" t="s">
        <v>1096</v>
      </c>
      <c r="L64" t="s">
        <v>74</v>
      </c>
      <c r="M64" t="s">
        <v>78</v>
      </c>
      <c r="N64" t="s">
        <v>219</v>
      </c>
      <c r="O64" t="s">
        <v>74</v>
      </c>
      <c r="P64" t="s">
        <v>74</v>
      </c>
      <c r="Q64" t="s">
        <v>74</v>
      </c>
      <c r="R64" t="s">
        <v>74</v>
      </c>
      <c r="S64" t="s">
        <v>74</v>
      </c>
      <c r="T64" t="s">
        <v>1171</v>
      </c>
      <c r="U64" t="s">
        <v>1172</v>
      </c>
      <c r="V64" t="s">
        <v>1173</v>
      </c>
      <c r="W64" t="s">
        <v>1174</v>
      </c>
      <c r="X64" t="s">
        <v>1175</v>
      </c>
      <c r="Y64" t="s">
        <v>1176</v>
      </c>
      <c r="Z64" t="s">
        <v>1177</v>
      </c>
      <c r="AA64" t="s">
        <v>1178</v>
      </c>
      <c r="AB64" t="s">
        <v>1179</v>
      </c>
      <c r="AC64" t="s">
        <v>74</v>
      </c>
      <c r="AD64" t="s">
        <v>74</v>
      </c>
      <c r="AE64" t="s">
        <v>74</v>
      </c>
      <c r="AF64" t="s">
        <v>74</v>
      </c>
      <c r="AG64">
        <v>63</v>
      </c>
      <c r="AH64">
        <v>23</v>
      </c>
      <c r="AI64">
        <v>28</v>
      </c>
      <c r="AJ64">
        <v>0</v>
      </c>
      <c r="AK64">
        <v>5</v>
      </c>
      <c r="AL64" t="s">
        <v>1111</v>
      </c>
      <c r="AM64" t="s">
        <v>1112</v>
      </c>
      <c r="AN64" t="s">
        <v>1113</v>
      </c>
      <c r="AO64" t="s">
        <v>1114</v>
      </c>
      <c r="AP64" t="s">
        <v>74</v>
      </c>
      <c r="AQ64" t="s">
        <v>1180</v>
      </c>
      <c r="AR64" t="s">
        <v>1116</v>
      </c>
      <c r="AS64" t="s">
        <v>74</v>
      </c>
      <c r="AT64" t="s">
        <v>74</v>
      </c>
      <c r="AU64">
        <v>2007</v>
      </c>
      <c r="AV64">
        <v>425</v>
      </c>
      <c r="AW64" t="s">
        <v>74</v>
      </c>
      <c r="AX64" t="s">
        <v>74</v>
      </c>
      <c r="AY64" t="s">
        <v>74</v>
      </c>
      <c r="AZ64" t="s">
        <v>74</v>
      </c>
      <c r="BA64" t="s">
        <v>74</v>
      </c>
      <c r="BB64">
        <v>285</v>
      </c>
      <c r="BC64">
        <v>298</v>
      </c>
      <c r="BD64" t="s">
        <v>74</v>
      </c>
      <c r="BE64" t="s">
        <v>1181</v>
      </c>
      <c r="BF64" t="str">
        <f>HYPERLINK("http://dx.doi.org/10.1130/2007.2425(18)","http://dx.doi.org/10.1130/2007.2425(18)")</f>
        <v>http://dx.doi.org/10.1130/2007.2425(18)</v>
      </c>
      <c r="BG64" t="s">
        <v>74</v>
      </c>
      <c r="BH64" t="s">
        <v>74</v>
      </c>
      <c r="BI64">
        <v>14</v>
      </c>
      <c r="BJ64" t="s">
        <v>1182</v>
      </c>
      <c r="BK64" t="s">
        <v>238</v>
      </c>
      <c r="BL64" t="s">
        <v>642</v>
      </c>
      <c r="BM64" t="s">
        <v>1183</v>
      </c>
      <c r="BN64" t="s">
        <v>74</v>
      </c>
      <c r="BO64" t="s">
        <v>74</v>
      </c>
      <c r="BP64" t="s">
        <v>74</v>
      </c>
      <c r="BQ64" t="s">
        <v>74</v>
      </c>
      <c r="BR64" t="s">
        <v>100</v>
      </c>
      <c r="BS64" t="s">
        <v>1184</v>
      </c>
      <c r="BT64" t="str">
        <f>HYPERLINK("https%3A%2F%2Fwww.webofscience.com%2Fwos%2Fwoscc%2Ffull-record%2FWOS:000273098500019","View Full Record in Web of Science")</f>
        <v>View Full Record in Web of Science</v>
      </c>
    </row>
    <row r="65" spans="1:72" x14ac:dyDescent="0.15">
      <c r="A65" t="s">
        <v>72</v>
      </c>
      <c r="B65" t="s">
        <v>1185</v>
      </c>
      <c r="C65" t="s">
        <v>74</v>
      </c>
      <c r="D65" t="s">
        <v>74</v>
      </c>
      <c r="E65" t="s">
        <v>74</v>
      </c>
      <c r="F65" t="s">
        <v>1186</v>
      </c>
      <c r="G65" t="s">
        <v>74</v>
      </c>
      <c r="H65" t="s">
        <v>74</v>
      </c>
      <c r="I65" t="s">
        <v>1187</v>
      </c>
      <c r="J65" t="s">
        <v>1188</v>
      </c>
      <c r="K65" t="s">
        <v>74</v>
      </c>
      <c r="L65" t="s">
        <v>74</v>
      </c>
      <c r="M65" t="s">
        <v>78</v>
      </c>
      <c r="N65" t="s">
        <v>79</v>
      </c>
      <c r="O65" t="s">
        <v>74</v>
      </c>
      <c r="P65" t="s">
        <v>74</v>
      </c>
      <c r="Q65" t="s">
        <v>74</v>
      </c>
      <c r="R65" t="s">
        <v>74</v>
      </c>
      <c r="S65" t="s">
        <v>74</v>
      </c>
      <c r="T65" t="s">
        <v>1189</v>
      </c>
      <c r="U65" t="s">
        <v>1190</v>
      </c>
      <c r="V65" t="s">
        <v>1191</v>
      </c>
      <c r="W65" t="s">
        <v>1192</v>
      </c>
      <c r="X65" t="s">
        <v>1193</v>
      </c>
      <c r="Y65" t="s">
        <v>1194</v>
      </c>
      <c r="Z65" t="s">
        <v>1195</v>
      </c>
      <c r="AA65" t="s">
        <v>74</v>
      </c>
      <c r="AB65" t="s">
        <v>74</v>
      </c>
      <c r="AC65" t="s">
        <v>74</v>
      </c>
      <c r="AD65" t="s">
        <v>74</v>
      </c>
      <c r="AE65" t="s">
        <v>74</v>
      </c>
      <c r="AF65" t="s">
        <v>74</v>
      </c>
      <c r="AG65">
        <v>29</v>
      </c>
      <c r="AH65">
        <v>40</v>
      </c>
      <c r="AI65">
        <v>50</v>
      </c>
      <c r="AJ65">
        <v>0</v>
      </c>
      <c r="AK65">
        <v>23</v>
      </c>
      <c r="AL65" t="s">
        <v>1196</v>
      </c>
      <c r="AM65" t="s">
        <v>1197</v>
      </c>
      <c r="AN65" t="s">
        <v>1198</v>
      </c>
      <c r="AO65" t="s">
        <v>1199</v>
      </c>
      <c r="AP65" t="s">
        <v>1200</v>
      </c>
      <c r="AQ65" t="s">
        <v>74</v>
      </c>
      <c r="AR65" t="s">
        <v>1188</v>
      </c>
      <c r="AS65" t="s">
        <v>1201</v>
      </c>
      <c r="AT65" t="s">
        <v>166</v>
      </c>
      <c r="AU65">
        <v>2007</v>
      </c>
      <c r="AV65">
        <v>28</v>
      </c>
      <c r="AW65">
        <v>1</v>
      </c>
      <c r="AX65" t="s">
        <v>74</v>
      </c>
      <c r="AY65" t="s">
        <v>74</v>
      </c>
      <c r="AZ65" t="s">
        <v>74</v>
      </c>
      <c r="BA65" t="s">
        <v>74</v>
      </c>
      <c r="BB65">
        <v>39</v>
      </c>
      <c r="BC65">
        <v>49</v>
      </c>
      <c r="BD65" t="s">
        <v>74</v>
      </c>
      <c r="BE65" t="s">
        <v>74</v>
      </c>
      <c r="BF65" t="s">
        <v>74</v>
      </c>
      <c r="BG65" t="s">
        <v>74</v>
      </c>
      <c r="BH65" t="s">
        <v>74</v>
      </c>
      <c r="BI65">
        <v>11</v>
      </c>
      <c r="BJ65" t="s">
        <v>1202</v>
      </c>
      <c r="BK65" t="s">
        <v>97</v>
      </c>
      <c r="BL65" t="s">
        <v>1203</v>
      </c>
      <c r="BM65" t="s">
        <v>1204</v>
      </c>
      <c r="BN65">
        <v>17369961</v>
      </c>
      <c r="BO65" t="s">
        <v>74</v>
      </c>
      <c r="BP65" t="s">
        <v>74</v>
      </c>
      <c r="BQ65" t="s">
        <v>74</v>
      </c>
      <c r="BR65" t="s">
        <v>100</v>
      </c>
      <c r="BS65" t="s">
        <v>1205</v>
      </c>
      <c r="BT65" t="str">
        <f>HYPERLINK("https%3A%2F%2Fwww.webofscience.com%2Fwos%2Fwoscc%2Ffull-record%2FWOS:000245391400005","View Full Record in Web of Science")</f>
        <v>View Full Record in Web of Science</v>
      </c>
    </row>
    <row r="66" spans="1:72" x14ac:dyDescent="0.15">
      <c r="A66" t="s">
        <v>72</v>
      </c>
      <c r="B66" t="s">
        <v>1206</v>
      </c>
      <c r="C66" t="s">
        <v>74</v>
      </c>
      <c r="D66" t="s">
        <v>74</v>
      </c>
      <c r="E66" t="s">
        <v>74</v>
      </c>
      <c r="F66" t="s">
        <v>1207</v>
      </c>
      <c r="G66" t="s">
        <v>74</v>
      </c>
      <c r="H66" t="s">
        <v>74</v>
      </c>
      <c r="I66" t="s">
        <v>1208</v>
      </c>
      <c r="J66" t="s">
        <v>1188</v>
      </c>
      <c r="K66" t="s">
        <v>74</v>
      </c>
      <c r="L66" t="s">
        <v>74</v>
      </c>
      <c r="M66" t="s">
        <v>78</v>
      </c>
      <c r="N66" t="s">
        <v>79</v>
      </c>
      <c r="O66" t="s">
        <v>74</v>
      </c>
      <c r="P66" t="s">
        <v>74</v>
      </c>
      <c r="Q66" t="s">
        <v>74</v>
      </c>
      <c r="R66" t="s">
        <v>74</v>
      </c>
      <c r="S66" t="s">
        <v>74</v>
      </c>
      <c r="T66" t="s">
        <v>1209</v>
      </c>
      <c r="U66" t="s">
        <v>1210</v>
      </c>
      <c r="V66" t="s">
        <v>1211</v>
      </c>
      <c r="W66" t="s">
        <v>1212</v>
      </c>
      <c r="X66" t="s">
        <v>1213</v>
      </c>
      <c r="Y66" t="s">
        <v>1214</v>
      </c>
      <c r="Z66" t="s">
        <v>1215</v>
      </c>
      <c r="AA66" t="s">
        <v>1216</v>
      </c>
      <c r="AB66" t="s">
        <v>1217</v>
      </c>
      <c r="AC66" t="s">
        <v>74</v>
      </c>
      <c r="AD66" t="s">
        <v>74</v>
      </c>
      <c r="AE66" t="s">
        <v>74</v>
      </c>
      <c r="AF66" t="s">
        <v>74</v>
      </c>
      <c r="AG66">
        <v>18</v>
      </c>
      <c r="AH66">
        <v>8</v>
      </c>
      <c r="AI66">
        <v>9</v>
      </c>
      <c r="AJ66">
        <v>0</v>
      </c>
      <c r="AK66">
        <v>18</v>
      </c>
      <c r="AL66" t="s">
        <v>1196</v>
      </c>
      <c r="AM66" t="s">
        <v>1197</v>
      </c>
      <c r="AN66" t="s">
        <v>1198</v>
      </c>
      <c r="AO66" t="s">
        <v>1199</v>
      </c>
      <c r="AP66" t="s">
        <v>1200</v>
      </c>
      <c r="AQ66" t="s">
        <v>74</v>
      </c>
      <c r="AR66" t="s">
        <v>1188</v>
      </c>
      <c r="AS66" t="s">
        <v>1201</v>
      </c>
      <c r="AT66" t="s">
        <v>166</v>
      </c>
      <c r="AU66">
        <v>2007</v>
      </c>
      <c r="AV66">
        <v>28</v>
      </c>
      <c r="AW66">
        <v>1</v>
      </c>
      <c r="AX66" t="s">
        <v>74</v>
      </c>
      <c r="AY66" t="s">
        <v>74</v>
      </c>
      <c r="AZ66" t="s">
        <v>74</v>
      </c>
      <c r="BA66" t="s">
        <v>74</v>
      </c>
      <c r="BB66">
        <v>61</v>
      </c>
      <c r="BC66">
        <v>68</v>
      </c>
      <c r="BD66" t="s">
        <v>74</v>
      </c>
      <c r="BE66" t="s">
        <v>74</v>
      </c>
      <c r="BF66" t="s">
        <v>74</v>
      </c>
      <c r="BG66" t="s">
        <v>74</v>
      </c>
      <c r="BH66" t="s">
        <v>74</v>
      </c>
      <c r="BI66">
        <v>8</v>
      </c>
      <c r="BJ66" t="s">
        <v>1202</v>
      </c>
      <c r="BK66" t="s">
        <v>97</v>
      </c>
      <c r="BL66" t="s">
        <v>1203</v>
      </c>
      <c r="BM66" t="s">
        <v>1204</v>
      </c>
      <c r="BN66">
        <v>17369963</v>
      </c>
      <c r="BO66" t="s">
        <v>74</v>
      </c>
      <c r="BP66" t="s">
        <v>74</v>
      </c>
      <c r="BQ66" t="s">
        <v>74</v>
      </c>
      <c r="BR66" t="s">
        <v>100</v>
      </c>
      <c r="BS66" t="s">
        <v>1218</v>
      </c>
      <c r="BT66" t="str">
        <f>HYPERLINK("https%3A%2F%2Fwww.webofscience.com%2Fwos%2Fwoscc%2Ffull-record%2FWOS:000245391400007","View Full Record in Web of Science")</f>
        <v>View Full Record in Web of Science</v>
      </c>
    </row>
    <row r="67" spans="1:72" x14ac:dyDescent="0.15">
      <c r="A67" t="s">
        <v>72</v>
      </c>
      <c r="B67" t="s">
        <v>1219</v>
      </c>
      <c r="C67" t="s">
        <v>74</v>
      </c>
      <c r="D67" t="s">
        <v>74</v>
      </c>
      <c r="E67" t="s">
        <v>74</v>
      </c>
      <c r="F67" t="s">
        <v>1220</v>
      </c>
      <c r="G67" t="s">
        <v>74</v>
      </c>
      <c r="H67" t="s">
        <v>74</v>
      </c>
      <c r="I67" t="s">
        <v>1221</v>
      </c>
      <c r="J67" t="s">
        <v>1222</v>
      </c>
      <c r="K67" t="s">
        <v>74</v>
      </c>
      <c r="L67" t="s">
        <v>74</v>
      </c>
      <c r="M67" t="s">
        <v>1223</v>
      </c>
      <c r="N67" t="s">
        <v>79</v>
      </c>
      <c r="O67" t="s">
        <v>74</v>
      </c>
      <c r="P67" t="s">
        <v>74</v>
      </c>
      <c r="Q67" t="s">
        <v>74</v>
      </c>
      <c r="R67" t="s">
        <v>74</v>
      </c>
      <c r="S67" t="s">
        <v>74</v>
      </c>
      <c r="T67" t="s">
        <v>1224</v>
      </c>
      <c r="U67" t="s">
        <v>1225</v>
      </c>
      <c r="V67" t="s">
        <v>1226</v>
      </c>
      <c r="W67" t="s">
        <v>1227</v>
      </c>
      <c r="X67" t="s">
        <v>1228</v>
      </c>
      <c r="Y67" t="s">
        <v>1229</v>
      </c>
      <c r="Z67" t="s">
        <v>1230</v>
      </c>
      <c r="AA67" t="s">
        <v>74</v>
      </c>
      <c r="AB67" t="s">
        <v>74</v>
      </c>
      <c r="AC67" t="s">
        <v>74</v>
      </c>
      <c r="AD67" t="s">
        <v>74</v>
      </c>
      <c r="AE67" t="s">
        <v>74</v>
      </c>
      <c r="AF67" t="s">
        <v>74</v>
      </c>
      <c r="AG67">
        <v>33</v>
      </c>
      <c r="AH67">
        <v>0</v>
      </c>
      <c r="AI67">
        <v>0</v>
      </c>
      <c r="AJ67">
        <v>0</v>
      </c>
      <c r="AK67">
        <v>0</v>
      </c>
      <c r="AL67" t="s">
        <v>1231</v>
      </c>
      <c r="AM67" t="s">
        <v>1232</v>
      </c>
      <c r="AN67" t="s">
        <v>1233</v>
      </c>
      <c r="AO67" t="s">
        <v>1234</v>
      </c>
      <c r="AP67" t="s">
        <v>74</v>
      </c>
      <c r="AQ67" t="s">
        <v>74</v>
      </c>
      <c r="AR67" t="s">
        <v>1231</v>
      </c>
      <c r="AS67" t="s">
        <v>1235</v>
      </c>
      <c r="AT67" t="s">
        <v>74</v>
      </c>
      <c r="AU67">
        <v>2007</v>
      </c>
      <c r="AV67" t="s">
        <v>74</v>
      </c>
      <c r="AW67" t="s">
        <v>74</v>
      </c>
      <c r="AX67" t="s">
        <v>74</v>
      </c>
      <c r="AY67" t="s">
        <v>74</v>
      </c>
      <c r="AZ67" t="s">
        <v>74</v>
      </c>
      <c r="BA67" t="s">
        <v>74</v>
      </c>
      <c r="BB67" t="s">
        <v>74</v>
      </c>
      <c r="BC67" t="s">
        <v>74</v>
      </c>
      <c r="BD67">
        <v>22420</v>
      </c>
      <c r="BE67" t="s">
        <v>1236</v>
      </c>
      <c r="BF67" t="str">
        <f>HYPERLINK("http://dx.doi.org/10.4000/cybergeo.22420","http://dx.doi.org/10.4000/cybergeo.22420")</f>
        <v>http://dx.doi.org/10.4000/cybergeo.22420</v>
      </c>
      <c r="BG67" t="s">
        <v>74</v>
      </c>
      <c r="BH67" t="s">
        <v>74</v>
      </c>
      <c r="BI67">
        <v>14</v>
      </c>
      <c r="BJ67" t="s">
        <v>1237</v>
      </c>
      <c r="BK67" t="s">
        <v>643</v>
      </c>
      <c r="BL67" t="s">
        <v>1237</v>
      </c>
      <c r="BM67" t="s">
        <v>1238</v>
      </c>
      <c r="BN67" t="s">
        <v>74</v>
      </c>
      <c r="BO67" t="s">
        <v>269</v>
      </c>
      <c r="BP67" t="s">
        <v>74</v>
      </c>
      <c r="BQ67" t="s">
        <v>74</v>
      </c>
      <c r="BR67" t="s">
        <v>100</v>
      </c>
      <c r="BS67" t="s">
        <v>1239</v>
      </c>
      <c r="BT67" t="str">
        <f>HYPERLINK("https%3A%2F%2Fwww.webofscience.com%2Fwos%2Fwoscc%2Ffull-record%2FWOS:000217837900068","View Full Record in Web of Science")</f>
        <v>View Full Record in Web of Science</v>
      </c>
    </row>
    <row r="68" spans="1:72" x14ac:dyDescent="0.15">
      <c r="A68" t="s">
        <v>72</v>
      </c>
      <c r="B68" t="s">
        <v>1240</v>
      </c>
      <c r="C68" t="s">
        <v>74</v>
      </c>
      <c r="D68" t="s">
        <v>74</v>
      </c>
      <c r="E68" t="s">
        <v>74</v>
      </c>
      <c r="F68" t="s">
        <v>1241</v>
      </c>
      <c r="G68" t="s">
        <v>74</v>
      </c>
      <c r="H68" t="s">
        <v>74</v>
      </c>
      <c r="I68" t="s">
        <v>1242</v>
      </c>
      <c r="J68" t="s">
        <v>1243</v>
      </c>
      <c r="K68" t="s">
        <v>74</v>
      </c>
      <c r="L68" t="s">
        <v>74</v>
      </c>
      <c r="M68" t="s">
        <v>78</v>
      </c>
      <c r="N68" t="s">
        <v>79</v>
      </c>
      <c r="O68" t="s">
        <v>74</v>
      </c>
      <c r="P68" t="s">
        <v>74</v>
      </c>
      <c r="Q68" t="s">
        <v>74</v>
      </c>
      <c r="R68" t="s">
        <v>74</v>
      </c>
      <c r="S68" t="s">
        <v>74</v>
      </c>
      <c r="T68" t="s">
        <v>1244</v>
      </c>
      <c r="U68" t="s">
        <v>1245</v>
      </c>
      <c r="V68" t="s">
        <v>1246</v>
      </c>
      <c r="W68" t="s">
        <v>1247</v>
      </c>
      <c r="X68" t="s">
        <v>1248</v>
      </c>
      <c r="Y68" t="s">
        <v>1249</v>
      </c>
      <c r="Z68" t="s">
        <v>1250</v>
      </c>
      <c r="AA68" t="s">
        <v>1251</v>
      </c>
      <c r="AB68" t="s">
        <v>1252</v>
      </c>
      <c r="AC68" t="s">
        <v>1253</v>
      </c>
      <c r="AD68" t="s">
        <v>1254</v>
      </c>
      <c r="AE68" t="s">
        <v>74</v>
      </c>
      <c r="AF68" t="s">
        <v>74</v>
      </c>
      <c r="AG68">
        <v>50</v>
      </c>
      <c r="AH68">
        <v>43</v>
      </c>
      <c r="AI68">
        <v>48</v>
      </c>
      <c r="AJ68">
        <v>1</v>
      </c>
      <c r="AK68">
        <v>14</v>
      </c>
      <c r="AL68" t="s">
        <v>817</v>
      </c>
      <c r="AM68" t="s">
        <v>818</v>
      </c>
      <c r="AN68" t="s">
        <v>819</v>
      </c>
      <c r="AO68" t="s">
        <v>1255</v>
      </c>
      <c r="AP68" t="s">
        <v>1256</v>
      </c>
      <c r="AQ68" t="s">
        <v>74</v>
      </c>
      <c r="AR68" t="s">
        <v>1257</v>
      </c>
      <c r="AS68" t="s">
        <v>1258</v>
      </c>
      <c r="AT68" t="s">
        <v>661</v>
      </c>
      <c r="AU68">
        <v>2007</v>
      </c>
      <c r="AV68">
        <v>54</v>
      </c>
      <c r="AW68">
        <v>1</v>
      </c>
      <c r="AX68" t="s">
        <v>74</v>
      </c>
      <c r="AY68" t="s">
        <v>74</v>
      </c>
      <c r="AZ68" t="s">
        <v>74</v>
      </c>
      <c r="BA68" t="s">
        <v>74</v>
      </c>
      <c r="BB68">
        <v>42</v>
      </c>
      <c r="BC68">
        <v>74</v>
      </c>
      <c r="BD68" t="s">
        <v>74</v>
      </c>
      <c r="BE68" t="s">
        <v>1259</v>
      </c>
      <c r="BF68" t="str">
        <f>HYPERLINK("http://dx.doi.org/10.1016/j.dsr.2006.08.016","http://dx.doi.org/10.1016/j.dsr.2006.08.016")</f>
        <v>http://dx.doi.org/10.1016/j.dsr.2006.08.016</v>
      </c>
      <c r="BG68" t="s">
        <v>74</v>
      </c>
      <c r="BH68" t="s">
        <v>74</v>
      </c>
      <c r="BI68">
        <v>33</v>
      </c>
      <c r="BJ68" t="s">
        <v>1260</v>
      </c>
      <c r="BK68" t="s">
        <v>97</v>
      </c>
      <c r="BL68" t="s">
        <v>1260</v>
      </c>
      <c r="BM68" t="s">
        <v>1261</v>
      </c>
      <c r="BN68" t="s">
        <v>74</v>
      </c>
      <c r="BO68" t="s">
        <v>74</v>
      </c>
      <c r="BP68" t="s">
        <v>74</v>
      </c>
      <c r="BQ68" t="s">
        <v>74</v>
      </c>
      <c r="BR68" t="s">
        <v>100</v>
      </c>
      <c r="BS68" t="s">
        <v>1262</v>
      </c>
      <c r="BT68" t="str">
        <f>HYPERLINK("https%3A%2F%2Fwww.webofscience.com%2Fwos%2Fwoscc%2Ffull-record%2FWOS:000244117700003","View Full Record in Web of Science")</f>
        <v>View Full Record in Web of Science</v>
      </c>
    </row>
    <row r="69" spans="1:72" x14ac:dyDescent="0.15">
      <c r="A69" t="s">
        <v>72</v>
      </c>
      <c r="B69" t="s">
        <v>1263</v>
      </c>
      <c r="C69" t="s">
        <v>74</v>
      </c>
      <c r="D69" t="s">
        <v>74</v>
      </c>
      <c r="E69" t="s">
        <v>74</v>
      </c>
      <c r="F69" t="s">
        <v>1264</v>
      </c>
      <c r="G69" t="s">
        <v>74</v>
      </c>
      <c r="H69" t="s">
        <v>74</v>
      </c>
      <c r="I69" t="s">
        <v>1265</v>
      </c>
      <c r="J69" t="s">
        <v>1266</v>
      </c>
      <c r="K69" t="s">
        <v>74</v>
      </c>
      <c r="L69" t="s">
        <v>74</v>
      </c>
      <c r="M69" t="s">
        <v>78</v>
      </c>
      <c r="N69" t="s">
        <v>176</v>
      </c>
      <c r="O69" t="s">
        <v>1267</v>
      </c>
      <c r="P69" t="s">
        <v>1268</v>
      </c>
      <c r="Q69" t="s">
        <v>1269</v>
      </c>
      <c r="R69" t="s">
        <v>74</v>
      </c>
      <c r="S69" t="s">
        <v>1270</v>
      </c>
      <c r="T69" t="s">
        <v>1271</v>
      </c>
      <c r="U69" t="s">
        <v>1272</v>
      </c>
      <c r="V69" t="s">
        <v>1273</v>
      </c>
      <c r="W69" t="s">
        <v>1274</v>
      </c>
      <c r="X69" t="s">
        <v>1275</v>
      </c>
      <c r="Y69" t="s">
        <v>1276</v>
      </c>
      <c r="Z69" t="s">
        <v>1277</v>
      </c>
      <c r="AA69" t="s">
        <v>1278</v>
      </c>
      <c r="AB69" t="s">
        <v>74</v>
      </c>
      <c r="AC69" t="s">
        <v>74</v>
      </c>
      <c r="AD69" t="s">
        <v>74</v>
      </c>
      <c r="AE69" t="s">
        <v>74</v>
      </c>
      <c r="AF69" t="s">
        <v>74</v>
      </c>
      <c r="AG69">
        <v>51</v>
      </c>
      <c r="AH69">
        <v>26</v>
      </c>
      <c r="AI69">
        <v>29</v>
      </c>
      <c r="AJ69">
        <v>0</v>
      </c>
      <c r="AK69">
        <v>10</v>
      </c>
      <c r="AL69" t="s">
        <v>817</v>
      </c>
      <c r="AM69" t="s">
        <v>818</v>
      </c>
      <c r="AN69" t="s">
        <v>819</v>
      </c>
      <c r="AO69" t="s">
        <v>1279</v>
      </c>
      <c r="AP69" t="s">
        <v>1280</v>
      </c>
      <c r="AQ69" t="s">
        <v>74</v>
      </c>
      <c r="AR69" t="s">
        <v>1281</v>
      </c>
      <c r="AS69" t="s">
        <v>1282</v>
      </c>
      <c r="AT69" t="s">
        <v>74</v>
      </c>
      <c r="AU69">
        <v>2007</v>
      </c>
      <c r="AV69">
        <v>54</v>
      </c>
      <c r="AW69" t="s">
        <v>1283</v>
      </c>
      <c r="AX69" t="s">
        <v>74</v>
      </c>
      <c r="AY69" t="s">
        <v>74</v>
      </c>
      <c r="AZ69" t="s">
        <v>74</v>
      </c>
      <c r="BA69" t="s">
        <v>74</v>
      </c>
      <c r="BB69">
        <v>270</v>
      </c>
      <c r="BC69">
        <v>289</v>
      </c>
      <c r="BD69" t="s">
        <v>74</v>
      </c>
      <c r="BE69" t="s">
        <v>1284</v>
      </c>
      <c r="BF69" t="str">
        <f>HYPERLINK("http://dx.doi.org/10.1016/j.dsr2.2006.11.011","http://dx.doi.org/10.1016/j.dsr2.2006.11.011")</f>
        <v>http://dx.doi.org/10.1016/j.dsr2.2006.11.011</v>
      </c>
      <c r="BG69" t="s">
        <v>74</v>
      </c>
      <c r="BH69" t="s">
        <v>74</v>
      </c>
      <c r="BI69">
        <v>20</v>
      </c>
      <c r="BJ69" t="s">
        <v>1260</v>
      </c>
      <c r="BK69" t="s">
        <v>197</v>
      </c>
      <c r="BL69" t="s">
        <v>1260</v>
      </c>
      <c r="BM69" t="s">
        <v>1285</v>
      </c>
      <c r="BN69" t="s">
        <v>74</v>
      </c>
      <c r="BO69" t="s">
        <v>74</v>
      </c>
      <c r="BP69" t="s">
        <v>74</v>
      </c>
      <c r="BQ69" t="s">
        <v>74</v>
      </c>
      <c r="BR69" t="s">
        <v>100</v>
      </c>
      <c r="BS69" t="s">
        <v>1286</v>
      </c>
      <c r="BT69" t="str">
        <f>HYPERLINK("https%3A%2F%2Fwww.webofscience.com%2Fwos%2Fwoscc%2Ffull-record%2FWOS:000245820500008","View Full Record in Web of Science")</f>
        <v>View Full Record in Web of Science</v>
      </c>
    </row>
    <row r="70" spans="1:72" x14ac:dyDescent="0.15">
      <c r="A70" t="s">
        <v>72</v>
      </c>
      <c r="B70" t="s">
        <v>1287</v>
      </c>
      <c r="C70" t="s">
        <v>74</v>
      </c>
      <c r="D70" t="s">
        <v>74</v>
      </c>
      <c r="E70" t="s">
        <v>74</v>
      </c>
      <c r="F70" t="s">
        <v>1288</v>
      </c>
      <c r="G70" t="s">
        <v>74</v>
      </c>
      <c r="H70" t="s">
        <v>74</v>
      </c>
      <c r="I70" t="s">
        <v>1289</v>
      </c>
      <c r="J70" t="s">
        <v>1266</v>
      </c>
      <c r="K70" t="s">
        <v>74</v>
      </c>
      <c r="L70" t="s">
        <v>74</v>
      </c>
      <c r="M70" t="s">
        <v>78</v>
      </c>
      <c r="N70" t="s">
        <v>176</v>
      </c>
      <c r="O70" t="s">
        <v>1267</v>
      </c>
      <c r="P70" t="s">
        <v>1268</v>
      </c>
      <c r="Q70" t="s">
        <v>1269</v>
      </c>
      <c r="R70" t="s">
        <v>74</v>
      </c>
      <c r="S70" t="s">
        <v>1270</v>
      </c>
      <c r="T70" t="s">
        <v>1290</v>
      </c>
      <c r="U70" t="s">
        <v>1291</v>
      </c>
      <c r="V70" t="s">
        <v>1292</v>
      </c>
      <c r="W70" t="s">
        <v>1293</v>
      </c>
      <c r="X70" t="s">
        <v>1294</v>
      </c>
      <c r="Y70" t="s">
        <v>1295</v>
      </c>
      <c r="Z70" t="s">
        <v>1296</v>
      </c>
      <c r="AA70" t="s">
        <v>1297</v>
      </c>
      <c r="AB70" t="s">
        <v>1298</v>
      </c>
      <c r="AC70" t="s">
        <v>74</v>
      </c>
      <c r="AD70" t="s">
        <v>74</v>
      </c>
      <c r="AE70" t="s">
        <v>74</v>
      </c>
      <c r="AF70" t="s">
        <v>74</v>
      </c>
      <c r="AG70">
        <v>51</v>
      </c>
      <c r="AH70">
        <v>87</v>
      </c>
      <c r="AI70">
        <v>117</v>
      </c>
      <c r="AJ70">
        <v>2</v>
      </c>
      <c r="AK70">
        <v>60</v>
      </c>
      <c r="AL70" t="s">
        <v>817</v>
      </c>
      <c r="AM70" t="s">
        <v>818</v>
      </c>
      <c r="AN70" t="s">
        <v>819</v>
      </c>
      <c r="AO70" t="s">
        <v>1279</v>
      </c>
      <c r="AP70" t="s">
        <v>1280</v>
      </c>
      <c r="AQ70" t="s">
        <v>74</v>
      </c>
      <c r="AR70" t="s">
        <v>1281</v>
      </c>
      <c r="AS70" t="s">
        <v>1282</v>
      </c>
      <c r="AT70" t="s">
        <v>74</v>
      </c>
      <c r="AU70">
        <v>2007</v>
      </c>
      <c r="AV70">
        <v>54</v>
      </c>
      <c r="AW70" t="s">
        <v>1283</v>
      </c>
      <c r="AX70" t="s">
        <v>74</v>
      </c>
      <c r="AY70" t="s">
        <v>74</v>
      </c>
      <c r="AZ70" t="s">
        <v>74</v>
      </c>
      <c r="BA70" t="s">
        <v>74</v>
      </c>
      <c r="BB70">
        <v>330</v>
      </c>
      <c r="BC70">
        <v>342</v>
      </c>
      <c r="BD70" t="s">
        <v>74</v>
      </c>
      <c r="BE70" t="s">
        <v>1299</v>
      </c>
      <c r="BF70" t="str">
        <f>HYPERLINK("http://dx.doi.org/10.1016/j.dsr2.2006.11.012","http://dx.doi.org/10.1016/j.dsr2.2006.11.012")</f>
        <v>http://dx.doi.org/10.1016/j.dsr2.2006.11.012</v>
      </c>
      <c r="BG70" t="s">
        <v>74</v>
      </c>
      <c r="BH70" t="s">
        <v>74</v>
      </c>
      <c r="BI70">
        <v>13</v>
      </c>
      <c r="BJ70" t="s">
        <v>1260</v>
      </c>
      <c r="BK70" t="s">
        <v>197</v>
      </c>
      <c r="BL70" t="s">
        <v>1260</v>
      </c>
      <c r="BM70" t="s">
        <v>1285</v>
      </c>
      <c r="BN70" t="s">
        <v>74</v>
      </c>
      <c r="BO70" t="s">
        <v>74</v>
      </c>
      <c r="BP70" t="s">
        <v>74</v>
      </c>
      <c r="BQ70" t="s">
        <v>74</v>
      </c>
      <c r="BR70" t="s">
        <v>100</v>
      </c>
      <c r="BS70" t="s">
        <v>1300</v>
      </c>
      <c r="BT70" t="str">
        <f>HYPERLINK("https%3A%2F%2Fwww.webofscience.com%2Fwos%2Fwoscc%2Ffull-record%2FWOS:000245820500013","View Full Record in Web of Science")</f>
        <v>View Full Record in Web of Science</v>
      </c>
    </row>
    <row r="71" spans="1:72" x14ac:dyDescent="0.15">
      <c r="A71" t="s">
        <v>72</v>
      </c>
      <c r="B71" t="s">
        <v>1301</v>
      </c>
      <c r="C71" t="s">
        <v>74</v>
      </c>
      <c r="D71" t="s">
        <v>74</v>
      </c>
      <c r="E71" t="s">
        <v>74</v>
      </c>
      <c r="F71" t="s">
        <v>1302</v>
      </c>
      <c r="G71" t="s">
        <v>74</v>
      </c>
      <c r="H71" t="s">
        <v>74</v>
      </c>
      <c r="I71" t="s">
        <v>1303</v>
      </c>
      <c r="J71" t="s">
        <v>1266</v>
      </c>
      <c r="K71" t="s">
        <v>74</v>
      </c>
      <c r="L71" t="s">
        <v>74</v>
      </c>
      <c r="M71" t="s">
        <v>78</v>
      </c>
      <c r="N71" t="s">
        <v>176</v>
      </c>
      <c r="O71" t="s">
        <v>1267</v>
      </c>
      <c r="P71" t="s">
        <v>1268</v>
      </c>
      <c r="Q71" t="s">
        <v>1269</v>
      </c>
      <c r="R71" t="s">
        <v>74</v>
      </c>
      <c r="S71" t="s">
        <v>1270</v>
      </c>
      <c r="T71" t="s">
        <v>1304</v>
      </c>
      <c r="U71" t="s">
        <v>1305</v>
      </c>
      <c r="V71" t="s">
        <v>1306</v>
      </c>
      <c r="W71" t="s">
        <v>1307</v>
      </c>
      <c r="X71" t="s">
        <v>1308</v>
      </c>
      <c r="Y71" t="s">
        <v>1309</v>
      </c>
      <c r="Z71" t="s">
        <v>1310</v>
      </c>
      <c r="AA71" t="s">
        <v>1311</v>
      </c>
      <c r="AB71" t="s">
        <v>1312</v>
      </c>
      <c r="AC71" t="s">
        <v>74</v>
      </c>
      <c r="AD71" t="s">
        <v>74</v>
      </c>
      <c r="AE71" t="s">
        <v>74</v>
      </c>
      <c r="AF71" t="s">
        <v>74</v>
      </c>
      <c r="AG71">
        <v>34</v>
      </c>
      <c r="AH71">
        <v>85</v>
      </c>
      <c r="AI71">
        <v>94</v>
      </c>
      <c r="AJ71">
        <v>1</v>
      </c>
      <c r="AK71">
        <v>32</v>
      </c>
      <c r="AL71" t="s">
        <v>817</v>
      </c>
      <c r="AM71" t="s">
        <v>818</v>
      </c>
      <c r="AN71" t="s">
        <v>819</v>
      </c>
      <c r="AO71" t="s">
        <v>1279</v>
      </c>
      <c r="AP71" t="s">
        <v>1280</v>
      </c>
      <c r="AQ71" t="s">
        <v>74</v>
      </c>
      <c r="AR71" t="s">
        <v>1281</v>
      </c>
      <c r="AS71" t="s">
        <v>1282</v>
      </c>
      <c r="AT71" t="s">
        <v>74</v>
      </c>
      <c r="AU71">
        <v>2007</v>
      </c>
      <c r="AV71">
        <v>54</v>
      </c>
      <c r="AW71" t="s">
        <v>1283</v>
      </c>
      <c r="AX71" t="s">
        <v>74</v>
      </c>
      <c r="AY71" t="s">
        <v>74</v>
      </c>
      <c r="AZ71" t="s">
        <v>74</v>
      </c>
      <c r="BA71" t="s">
        <v>74</v>
      </c>
      <c r="BB71">
        <v>343</v>
      </c>
      <c r="BC71">
        <v>355</v>
      </c>
      <c r="BD71" t="s">
        <v>74</v>
      </c>
      <c r="BE71" t="s">
        <v>1313</v>
      </c>
      <c r="BF71" t="str">
        <f>HYPERLINK("http://dx.doi.org/10.1016/j.dsr2.2006.11.005","http://dx.doi.org/10.1016/j.dsr2.2006.11.005")</f>
        <v>http://dx.doi.org/10.1016/j.dsr2.2006.11.005</v>
      </c>
      <c r="BG71" t="s">
        <v>74</v>
      </c>
      <c r="BH71" t="s">
        <v>74</v>
      </c>
      <c r="BI71">
        <v>13</v>
      </c>
      <c r="BJ71" t="s">
        <v>1260</v>
      </c>
      <c r="BK71" t="s">
        <v>197</v>
      </c>
      <c r="BL71" t="s">
        <v>1260</v>
      </c>
      <c r="BM71" t="s">
        <v>1285</v>
      </c>
      <c r="BN71" t="s">
        <v>74</v>
      </c>
      <c r="BO71" t="s">
        <v>1314</v>
      </c>
      <c r="BP71" t="s">
        <v>74</v>
      </c>
      <c r="BQ71" t="s">
        <v>74</v>
      </c>
      <c r="BR71" t="s">
        <v>100</v>
      </c>
      <c r="BS71" t="s">
        <v>1315</v>
      </c>
      <c r="BT71" t="str">
        <f>HYPERLINK("https%3A%2F%2Fwww.webofscience.com%2Fwos%2Fwoscc%2Ffull-record%2FWOS:000245820500014","View Full Record in Web of Science")</f>
        <v>View Full Record in Web of Science</v>
      </c>
    </row>
    <row r="72" spans="1:72" x14ac:dyDescent="0.15">
      <c r="A72" t="s">
        <v>72</v>
      </c>
      <c r="B72" t="s">
        <v>1316</v>
      </c>
      <c r="C72" t="s">
        <v>74</v>
      </c>
      <c r="D72" t="s">
        <v>74</v>
      </c>
      <c r="E72" t="s">
        <v>74</v>
      </c>
      <c r="F72" t="s">
        <v>1317</v>
      </c>
      <c r="G72" t="s">
        <v>74</v>
      </c>
      <c r="H72" t="s">
        <v>74</v>
      </c>
      <c r="I72" t="s">
        <v>1318</v>
      </c>
      <c r="J72" t="s">
        <v>1266</v>
      </c>
      <c r="K72" t="s">
        <v>74</v>
      </c>
      <c r="L72" t="s">
        <v>74</v>
      </c>
      <c r="M72" t="s">
        <v>78</v>
      </c>
      <c r="N72" t="s">
        <v>176</v>
      </c>
      <c r="O72" t="s">
        <v>1267</v>
      </c>
      <c r="P72" t="s">
        <v>1268</v>
      </c>
      <c r="Q72" t="s">
        <v>1269</v>
      </c>
      <c r="R72" t="s">
        <v>74</v>
      </c>
      <c r="S72" t="s">
        <v>1270</v>
      </c>
      <c r="T72" t="s">
        <v>1319</v>
      </c>
      <c r="U72" t="s">
        <v>1320</v>
      </c>
      <c r="V72" t="s">
        <v>1321</v>
      </c>
      <c r="W72" t="s">
        <v>1322</v>
      </c>
      <c r="X72" t="s">
        <v>1323</v>
      </c>
      <c r="Y72" t="s">
        <v>1324</v>
      </c>
      <c r="Z72" t="s">
        <v>1325</v>
      </c>
      <c r="AA72" t="s">
        <v>1326</v>
      </c>
      <c r="AB72" t="s">
        <v>1327</v>
      </c>
      <c r="AC72" t="s">
        <v>74</v>
      </c>
      <c r="AD72" t="s">
        <v>74</v>
      </c>
      <c r="AE72" t="s">
        <v>74</v>
      </c>
      <c r="AF72" t="s">
        <v>74</v>
      </c>
      <c r="AG72">
        <v>64</v>
      </c>
      <c r="AH72">
        <v>52</v>
      </c>
      <c r="AI72">
        <v>70</v>
      </c>
      <c r="AJ72">
        <v>0</v>
      </c>
      <c r="AK72">
        <v>17</v>
      </c>
      <c r="AL72" t="s">
        <v>817</v>
      </c>
      <c r="AM72" t="s">
        <v>818</v>
      </c>
      <c r="AN72" t="s">
        <v>819</v>
      </c>
      <c r="AO72" t="s">
        <v>1279</v>
      </c>
      <c r="AP72" t="s">
        <v>1280</v>
      </c>
      <c r="AQ72" t="s">
        <v>74</v>
      </c>
      <c r="AR72" t="s">
        <v>1281</v>
      </c>
      <c r="AS72" t="s">
        <v>1282</v>
      </c>
      <c r="AT72" t="s">
        <v>74</v>
      </c>
      <c r="AU72">
        <v>2007</v>
      </c>
      <c r="AV72">
        <v>54</v>
      </c>
      <c r="AW72" t="s">
        <v>1283</v>
      </c>
      <c r="AX72" t="s">
        <v>74</v>
      </c>
      <c r="AY72" t="s">
        <v>74</v>
      </c>
      <c r="AZ72" t="s">
        <v>74</v>
      </c>
      <c r="BA72" t="s">
        <v>74</v>
      </c>
      <c r="BB72">
        <v>356</v>
      </c>
      <c r="BC72">
        <v>368</v>
      </c>
      <c r="BD72" t="s">
        <v>74</v>
      </c>
      <c r="BE72" t="s">
        <v>1328</v>
      </c>
      <c r="BF72" t="str">
        <f>HYPERLINK("http://dx.doi.org/10.1016/j.dsr2.2006.11.020","http://dx.doi.org/10.1016/j.dsr2.2006.11.020")</f>
        <v>http://dx.doi.org/10.1016/j.dsr2.2006.11.020</v>
      </c>
      <c r="BG72" t="s">
        <v>74</v>
      </c>
      <c r="BH72" t="s">
        <v>74</v>
      </c>
      <c r="BI72">
        <v>13</v>
      </c>
      <c r="BJ72" t="s">
        <v>1260</v>
      </c>
      <c r="BK72" t="s">
        <v>197</v>
      </c>
      <c r="BL72" t="s">
        <v>1260</v>
      </c>
      <c r="BM72" t="s">
        <v>1285</v>
      </c>
      <c r="BN72" t="s">
        <v>74</v>
      </c>
      <c r="BO72" t="s">
        <v>74</v>
      </c>
      <c r="BP72" t="s">
        <v>74</v>
      </c>
      <c r="BQ72" t="s">
        <v>74</v>
      </c>
      <c r="BR72" t="s">
        <v>100</v>
      </c>
      <c r="BS72" t="s">
        <v>1329</v>
      </c>
      <c r="BT72" t="str">
        <f>HYPERLINK("https%3A%2F%2Fwww.webofscience.com%2Fwos%2Fwoscc%2Ffull-record%2FWOS:000245820500015","View Full Record in Web of Science")</f>
        <v>View Full Record in Web of Science</v>
      </c>
    </row>
    <row r="73" spans="1:72" x14ac:dyDescent="0.15">
      <c r="A73" t="s">
        <v>72</v>
      </c>
      <c r="B73" t="s">
        <v>1330</v>
      </c>
      <c r="C73" t="s">
        <v>74</v>
      </c>
      <c r="D73" t="s">
        <v>74</v>
      </c>
      <c r="E73" t="s">
        <v>74</v>
      </c>
      <c r="F73" t="s">
        <v>1331</v>
      </c>
      <c r="G73" t="s">
        <v>74</v>
      </c>
      <c r="H73" t="s">
        <v>74</v>
      </c>
      <c r="I73" t="s">
        <v>1332</v>
      </c>
      <c r="J73" t="s">
        <v>1266</v>
      </c>
      <c r="K73" t="s">
        <v>74</v>
      </c>
      <c r="L73" t="s">
        <v>74</v>
      </c>
      <c r="M73" t="s">
        <v>78</v>
      </c>
      <c r="N73" t="s">
        <v>176</v>
      </c>
      <c r="O73" t="s">
        <v>1267</v>
      </c>
      <c r="P73" t="s">
        <v>1268</v>
      </c>
      <c r="Q73" t="s">
        <v>1269</v>
      </c>
      <c r="R73" t="s">
        <v>74</v>
      </c>
      <c r="S73" t="s">
        <v>1270</v>
      </c>
      <c r="T73" t="s">
        <v>1333</v>
      </c>
      <c r="U73" t="s">
        <v>1334</v>
      </c>
      <c r="V73" t="s">
        <v>1335</v>
      </c>
      <c r="W73" t="s">
        <v>1336</v>
      </c>
      <c r="X73" t="s">
        <v>1337</v>
      </c>
      <c r="Y73" t="s">
        <v>1338</v>
      </c>
      <c r="Z73" t="s">
        <v>1339</v>
      </c>
      <c r="AA73" t="s">
        <v>1340</v>
      </c>
      <c r="AB73" t="s">
        <v>1341</v>
      </c>
      <c r="AC73" t="s">
        <v>74</v>
      </c>
      <c r="AD73" t="s">
        <v>74</v>
      </c>
      <c r="AE73" t="s">
        <v>74</v>
      </c>
      <c r="AF73" t="s">
        <v>74</v>
      </c>
      <c r="AG73">
        <v>47</v>
      </c>
      <c r="AH73">
        <v>40</v>
      </c>
      <c r="AI73">
        <v>51</v>
      </c>
      <c r="AJ73">
        <v>0</v>
      </c>
      <c r="AK73">
        <v>33</v>
      </c>
      <c r="AL73" t="s">
        <v>817</v>
      </c>
      <c r="AM73" t="s">
        <v>818</v>
      </c>
      <c r="AN73" t="s">
        <v>819</v>
      </c>
      <c r="AO73" t="s">
        <v>1279</v>
      </c>
      <c r="AP73" t="s">
        <v>74</v>
      </c>
      <c r="AQ73" t="s">
        <v>74</v>
      </c>
      <c r="AR73" t="s">
        <v>1281</v>
      </c>
      <c r="AS73" t="s">
        <v>1282</v>
      </c>
      <c r="AT73" t="s">
        <v>74</v>
      </c>
      <c r="AU73">
        <v>2007</v>
      </c>
      <c r="AV73">
        <v>54</v>
      </c>
      <c r="AW73" t="s">
        <v>1283</v>
      </c>
      <c r="AX73" t="s">
        <v>74</v>
      </c>
      <c r="AY73" t="s">
        <v>74</v>
      </c>
      <c r="AZ73" t="s">
        <v>74</v>
      </c>
      <c r="BA73" t="s">
        <v>74</v>
      </c>
      <c r="BB73">
        <v>369</v>
      </c>
      <c r="BC73">
        <v>383</v>
      </c>
      <c r="BD73" t="s">
        <v>74</v>
      </c>
      <c r="BE73" t="s">
        <v>1342</v>
      </c>
      <c r="BF73" t="str">
        <f>HYPERLINK("http://dx.doi.org/10.1016/j.dsr2.2006.12.001","http://dx.doi.org/10.1016/j.dsr2.2006.12.001")</f>
        <v>http://dx.doi.org/10.1016/j.dsr2.2006.12.001</v>
      </c>
      <c r="BG73" t="s">
        <v>74</v>
      </c>
      <c r="BH73" t="s">
        <v>74</v>
      </c>
      <c r="BI73">
        <v>15</v>
      </c>
      <c r="BJ73" t="s">
        <v>1260</v>
      </c>
      <c r="BK73" t="s">
        <v>197</v>
      </c>
      <c r="BL73" t="s">
        <v>1260</v>
      </c>
      <c r="BM73" t="s">
        <v>1285</v>
      </c>
      <c r="BN73" t="s">
        <v>74</v>
      </c>
      <c r="BO73" t="s">
        <v>74</v>
      </c>
      <c r="BP73" t="s">
        <v>74</v>
      </c>
      <c r="BQ73" t="s">
        <v>74</v>
      </c>
      <c r="BR73" t="s">
        <v>100</v>
      </c>
      <c r="BS73" t="s">
        <v>1343</v>
      </c>
      <c r="BT73" t="str">
        <f>HYPERLINK("https%3A%2F%2Fwww.webofscience.com%2Fwos%2Fwoscc%2Ffull-record%2FWOS:000245820500016","View Full Record in Web of Science")</f>
        <v>View Full Record in Web of Science</v>
      </c>
    </row>
    <row r="74" spans="1:72" x14ac:dyDescent="0.15">
      <c r="A74" t="s">
        <v>72</v>
      </c>
      <c r="B74" t="s">
        <v>1344</v>
      </c>
      <c r="C74" t="s">
        <v>74</v>
      </c>
      <c r="D74" t="s">
        <v>74</v>
      </c>
      <c r="E74" t="s">
        <v>74</v>
      </c>
      <c r="F74" t="s">
        <v>1345</v>
      </c>
      <c r="G74" t="s">
        <v>74</v>
      </c>
      <c r="H74" t="s">
        <v>74</v>
      </c>
      <c r="I74" t="s">
        <v>1346</v>
      </c>
      <c r="J74" t="s">
        <v>1266</v>
      </c>
      <c r="K74" t="s">
        <v>74</v>
      </c>
      <c r="L74" t="s">
        <v>74</v>
      </c>
      <c r="M74" t="s">
        <v>78</v>
      </c>
      <c r="N74" t="s">
        <v>176</v>
      </c>
      <c r="O74" t="s">
        <v>1267</v>
      </c>
      <c r="P74" t="s">
        <v>1268</v>
      </c>
      <c r="Q74" t="s">
        <v>1269</v>
      </c>
      <c r="R74" t="s">
        <v>74</v>
      </c>
      <c r="S74" t="s">
        <v>1270</v>
      </c>
      <c r="T74" t="s">
        <v>1347</v>
      </c>
      <c r="U74" t="s">
        <v>1348</v>
      </c>
      <c r="V74" t="s">
        <v>1349</v>
      </c>
      <c r="W74" t="s">
        <v>1350</v>
      </c>
      <c r="X74" t="s">
        <v>776</v>
      </c>
      <c r="Y74" t="s">
        <v>1351</v>
      </c>
      <c r="Z74" t="s">
        <v>1352</v>
      </c>
      <c r="AA74" t="s">
        <v>74</v>
      </c>
      <c r="AB74" t="s">
        <v>1353</v>
      </c>
      <c r="AC74" t="s">
        <v>74</v>
      </c>
      <c r="AD74" t="s">
        <v>74</v>
      </c>
      <c r="AE74" t="s">
        <v>74</v>
      </c>
      <c r="AF74" t="s">
        <v>74</v>
      </c>
      <c r="AG74">
        <v>16</v>
      </c>
      <c r="AH74">
        <v>13</v>
      </c>
      <c r="AI74">
        <v>13</v>
      </c>
      <c r="AJ74">
        <v>0</v>
      </c>
      <c r="AK74">
        <v>8</v>
      </c>
      <c r="AL74" t="s">
        <v>817</v>
      </c>
      <c r="AM74" t="s">
        <v>818</v>
      </c>
      <c r="AN74" t="s">
        <v>819</v>
      </c>
      <c r="AO74" t="s">
        <v>1279</v>
      </c>
      <c r="AP74" t="s">
        <v>74</v>
      </c>
      <c r="AQ74" t="s">
        <v>74</v>
      </c>
      <c r="AR74" t="s">
        <v>1281</v>
      </c>
      <c r="AS74" t="s">
        <v>1282</v>
      </c>
      <c r="AT74" t="s">
        <v>74</v>
      </c>
      <c r="AU74">
        <v>2007</v>
      </c>
      <c r="AV74">
        <v>54</v>
      </c>
      <c r="AW74" t="s">
        <v>1283</v>
      </c>
      <c r="AX74" t="s">
        <v>74</v>
      </c>
      <c r="AY74" t="s">
        <v>74</v>
      </c>
      <c r="AZ74" t="s">
        <v>74</v>
      </c>
      <c r="BA74" t="s">
        <v>74</v>
      </c>
      <c r="BB74">
        <v>384</v>
      </c>
      <c r="BC74">
        <v>391</v>
      </c>
      <c r="BD74" t="s">
        <v>74</v>
      </c>
      <c r="BE74" t="s">
        <v>1354</v>
      </c>
      <c r="BF74" t="str">
        <f>HYPERLINK("http://dx.doi.org/10.1016/j.dsr2.2006.11.015","http://dx.doi.org/10.1016/j.dsr2.2006.11.015")</f>
        <v>http://dx.doi.org/10.1016/j.dsr2.2006.11.015</v>
      </c>
      <c r="BG74" t="s">
        <v>74</v>
      </c>
      <c r="BH74" t="s">
        <v>74</v>
      </c>
      <c r="BI74">
        <v>8</v>
      </c>
      <c r="BJ74" t="s">
        <v>1260</v>
      </c>
      <c r="BK74" t="s">
        <v>197</v>
      </c>
      <c r="BL74" t="s">
        <v>1260</v>
      </c>
      <c r="BM74" t="s">
        <v>1285</v>
      </c>
      <c r="BN74" t="s">
        <v>74</v>
      </c>
      <c r="BO74" t="s">
        <v>74</v>
      </c>
      <c r="BP74" t="s">
        <v>74</v>
      </c>
      <c r="BQ74" t="s">
        <v>74</v>
      </c>
      <c r="BR74" t="s">
        <v>100</v>
      </c>
      <c r="BS74" t="s">
        <v>1355</v>
      </c>
      <c r="BT74" t="str">
        <f>HYPERLINK("https%3A%2F%2Fwww.webofscience.com%2Fwos%2Fwoscc%2Ffull-record%2FWOS:000245820500017","View Full Record in Web of Science")</f>
        <v>View Full Record in Web of Science</v>
      </c>
    </row>
    <row r="75" spans="1:72" x14ac:dyDescent="0.15">
      <c r="A75" t="s">
        <v>72</v>
      </c>
      <c r="B75" t="s">
        <v>1356</v>
      </c>
      <c r="C75" t="s">
        <v>74</v>
      </c>
      <c r="D75" t="s">
        <v>74</v>
      </c>
      <c r="E75" t="s">
        <v>74</v>
      </c>
      <c r="F75" t="s">
        <v>1357</v>
      </c>
      <c r="G75" t="s">
        <v>74</v>
      </c>
      <c r="H75" t="s">
        <v>74</v>
      </c>
      <c r="I75" t="s">
        <v>1358</v>
      </c>
      <c r="J75" t="s">
        <v>1266</v>
      </c>
      <c r="K75" t="s">
        <v>74</v>
      </c>
      <c r="L75" t="s">
        <v>74</v>
      </c>
      <c r="M75" t="s">
        <v>78</v>
      </c>
      <c r="N75" t="s">
        <v>176</v>
      </c>
      <c r="O75" t="s">
        <v>1267</v>
      </c>
      <c r="P75" t="s">
        <v>1268</v>
      </c>
      <c r="Q75" t="s">
        <v>1269</v>
      </c>
      <c r="R75" t="s">
        <v>74</v>
      </c>
      <c r="S75" t="s">
        <v>1270</v>
      </c>
      <c r="T75" t="s">
        <v>1359</v>
      </c>
      <c r="U75" t="s">
        <v>1360</v>
      </c>
      <c r="V75" t="s">
        <v>1361</v>
      </c>
      <c r="W75" t="s">
        <v>1362</v>
      </c>
      <c r="X75" t="s">
        <v>1363</v>
      </c>
      <c r="Y75" t="s">
        <v>1364</v>
      </c>
      <c r="Z75" t="s">
        <v>1365</v>
      </c>
      <c r="AA75" t="s">
        <v>74</v>
      </c>
      <c r="AB75" t="s">
        <v>1366</v>
      </c>
      <c r="AC75" t="s">
        <v>74</v>
      </c>
      <c r="AD75" t="s">
        <v>74</v>
      </c>
      <c r="AE75" t="s">
        <v>74</v>
      </c>
      <c r="AF75" t="s">
        <v>74</v>
      </c>
      <c r="AG75">
        <v>43</v>
      </c>
      <c r="AH75">
        <v>21</v>
      </c>
      <c r="AI75">
        <v>21</v>
      </c>
      <c r="AJ75">
        <v>2</v>
      </c>
      <c r="AK75">
        <v>15</v>
      </c>
      <c r="AL75" t="s">
        <v>817</v>
      </c>
      <c r="AM75" t="s">
        <v>818</v>
      </c>
      <c r="AN75" t="s">
        <v>819</v>
      </c>
      <c r="AO75" t="s">
        <v>1279</v>
      </c>
      <c r="AP75" t="s">
        <v>74</v>
      </c>
      <c r="AQ75" t="s">
        <v>74</v>
      </c>
      <c r="AR75" t="s">
        <v>1281</v>
      </c>
      <c r="AS75" t="s">
        <v>1282</v>
      </c>
      <c r="AT75" t="s">
        <v>74</v>
      </c>
      <c r="AU75">
        <v>2007</v>
      </c>
      <c r="AV75">
        <v>54</v>
      </c>
      <c r="AW75" t="s">
        <v>1283</v>
      </c>
      <c r="AX75" t="s">
        <v>74</v>
      </c>
      <c r="AY75" t="s">
        <v>74</v>
      </c>
      <c r="AZ75" t="s">
        <v>74</v>
      </c>
      <c r="BA75" t="s">
        <v>74</v>
      </c>
      <c r="BB75">
        <v>424</v>
      </c>
      <c r="BC75">
        <v>436</v>
      </c>
      <c r="BD75" t="s">
        <v>74</v>
      </c>
      <c r="BE75" t="s">
        <v>1367</v>
      </c>
      <c r="BF75" t="str">
        <f>HYPERLINK("http://dx.doi.org/10.1016/j.dsr2.2006.11.019","http://dx.doi.org/10.1016/j.dsr2.2006.11.019")</f>
        <v>http://dx.doi.org/10.1016/j.dsr2.2006.11.019</v>
      </c>
      <c r="BG75" t="s">
        <v>74</v>
      </c>
      <c r="BH75" t="s">
        <v>74</v>
      </c>
      <c r="BI75">
        <v>13</v>
      </c>
      <c r="BJ75" t="s">
        <v>1260</v>
      </c>
      <c r="BK75" t="s">
        <v>197</v>
      </c>
      <c r="BL75" t="s">
        <v>1260</v>
      </c>
      <c r="BM75" t="s">
        <v>1285</v>
      </c>
      <c r="BN75" t="s">
        <v>74</v>
      </c>
      <c r="BO75" t="s">
        <v>74</v>
      </c>
      <c r="BP75" t="s">
        <v>74</v>
      </c>
      <c r="BQ75" t="s">
        <v>74</v>
      </c>
      <c r="BR75" t="s">
        <v>100</v>
      </c>
      <c r="BS75" t="s">
        <v>1368</v>
      </c>
      <c r="BT75" t="str">
        <f>HYPERLINK("https%3A%2F%2Fwww.webofscience.com%2Fwos%2Fwoscc%2Ffull-record%2FWOS:000245820500021","View Full Record in Web of Science")</f>
        <v>View Full Record in Web of Science</v>
      </c>
    </row>
    <row r="76" spans="1:72" x14ac:dyDescent="0.15">
      <c r="A76" t="s">
        <v>72</v>
      </c>
      <c r="B76" t="s">
        <v>1369</v>
      </c>
      <c r="C76" t="s">
        <v>74</v>
      </c>
      <c r="D76" t="s">
        <v>74</v>
      </c>
      <c r="E76" t="s">
        <v>74</v>
      </c>
      <c r="F76" t="s">
        <v>1370</v>
      </c>
      <c r="G76" t="s">
        <v>74</v>
      </c>
      <c r="H76" t="s">
        <v>74</v>
      </c>
      <c r="I76" t="s">
        <v>1371</v>
      </c>
      <c r="J76" t="s">
        <v>1266</v>
      </c>
      <c r="K76" t="s">
        <v>74</v>
      </c>
      <c r="L76" t="s">
        <v>74</v>
      </c>
      <c r="M76" t="s">
        <v>78</v>
      </c>
      <c r="N76" t="s">
        <v>79</v>
      </c>
      <c r="O76" t="s">
        <v>74</v>
      </c>
      <c r="P76" t="s">
        <v>74</v>
      </c>
      <c r="Q76" t="s">
        <v>74</v>
      </c>
      <c r="R76" t="s">
        <v>74</v>
      </c>
      <c r="S76" t="s">
        <v>74</v>
      </c>
      <c r="T76" t="s">
        <v>1372</v>
      </c>
      <c r="U76" t="s">
        <v>1373</v>
      </c>
      <c r="V76" t="s">
        <v>1374</v>
      </c>
      <c r="W76" t="s">
        <v>1375</v>
      </c>
      <c r="X76" t="s">
        <v>1376</v>
      </c>
      <c r="Y76" t="s">
        <v>1377</v>
      </c>
      <c r="Z76" t="s">
        <v>1378</v>
      </c>
      <c r="AA76" t="s">
        <v>1379</v>
      </c>
      <c r="AB76" t="s">
        <v>1380</v>
      </c>
      <c r="AC76" t="s">
        <v>74</v>
      </c>
      <c r="AD76" t="s">
        <v>74</v>
      </c>
      <c r="AE76" t="s">
        <v>74</v>
      </c>
      <c r="AF76" t="s">
        <v>74</v>
      </c>
      <c r="AG76">
        <v>44</v>
      </c>
      <c r="AH76">
        <v>78</v>
      </c>
      <c r="AI76">
        <v>80</v>
      </c>
      <c r="AJ76">
        <v>3</v>
      </c>
      <c r="AK76">
        <v>37</v>
      </c>
      <c r="AL76" t="s">
        <v>817</v>
      </c>
      <c r="AM76" t="s">
        <v>818</v>
      </c>
      <c r="AN76" t="s">
        <v>819</v>
      </c>
      <c r="AO76" t="s">
        <v>1279</v>
      </c>
      <c r="AP76" t="s">
        <v>1280</v>
      </c>
      <c r="AQ76" t="s">
        <v>74</v>
      </c>
      <c r="AR76" t="s">
        <v>1281</v>
      </c>
      <c r="AS76" t="s">
        <v>1282</v>
      </c>
      <c r="AT76" t="s">
        <v>74</v>
      </c>
      <c r="AU76">
        <v>2007</v>
      </c>
      <c r="AV76">
        <v>54</v>
      </c>
      <c r="AW76" t="s">
        <v>1381</v>
      </c>
      <c r="AX76" t="s">
        <v>74</v>
      </c>
      <c r="AY76" t="s">
        <v>74</v>
      </c>
      <c r="AZ76" t="s">
        <v>74</v>
      </c>
      <c r="BA76" t="s">
        <v>74</v>
      </c>
      <c r="BB76">
        <v>601</v>
      </c>
      <c r="BC76">
        <v>638</v>
      </c>
      <c r="BD76" t="s">
        <v>74</v>
      </c>
      <c r="BE76" t="s">
        <v>1382</v>
      </c>
      <c r="BF76" t="str">
        <f>HYPERLINK("http://dx.doi.org/10.1016/j.dsr2.2007.01.013","http://dx.doi.org/10.1016/j.dsr2.2007.01.013")</f>
        <v>http://dx.doi.org/10.1016/j.dsr2.2007.01.013</v>
      </c>
      <c r="BG76" t="s">
        <v>74</v>
      </c>
      <c r="BH76" t="s">
        <v>74</v>
      </c>
      <c r="BI76">
        <v>38</v>
      </c>
      <c r="BJ76" t="s">
        <v>1260</v>
      </c>
      <c r="BK76" t="s">
        <v>97</v>
      </c>
      <c r="BL76" t="s">
        <v>1260</v>
      </c>
      <c r="BM76" t="s">
        <v>1383</v>
      </c>
      <c r="BN76" t="s">
        <v>74</v>
      </c>
      <c r="BO76" t="s">
        <v>1384</v>
      </c>
      <c r="BP76" t="s">
        <v>74</v>
      </c>
      <c r="BQ76" t="s">
        <v>74</v>
      </c>
      <c r="BR76" t="s">
        <v>100</v>
      </c>
      <c r="BS76" t="s">
        <v>1385</v>
      </c>
      <c r="BT76" t="str">
        <f>HYPERLINK("https%3A%2F%2Fwww.webofscience.com%2Fwos%2Fwoscc%2Ffull-record%2FWOS:000247585300009","View Full Record in Web of Science")</f>
        <v>View Full Record in Web of Science</v>
      </c>
    </row>
    <row r="77" spans="1:72" x14ac:dyDescent="0.15">
      <c r="A77" t="s">
        <v>72</v>
      </c>
      <c r="B77" t="s">
        <v>1386</v>
      </c>
      <c r="C77" t="s">
        <v>74</v>
      </c>
      <c r="D77" t="s">
        <v>74</v>
      </c>
      <c r="E77" t="s">
        <v>74</v>
      </c>
      <c r="F77" t="s">
        <v>1387</v>
      </c>
      <c r="G77" t="s">
        <v>74</v>
      </c>
      <c r="H77" t="s">
        <v>74</v>
      </c>
      <c r="I77" t="s">
        <v>1388</v>
      </c>
      <c r="J77" t="s">
        <v>1266</v>
      </c>
      <c r="K77" t="s">
        <v>74</v>
      </c>
      <c r="L77" t="s">
        <v>74</v>
      </c>
      <c r="M77" t="s">
        <v>78</v>
      </c>
      <c r="N77" t="s">
        <v>366</v>
      </c>
      <c r="O77" t="s">
        <v>74</v>
      </c>
      <c r="P77" t="s">
        <v>74</v>
      </c>
      <c r="Q77" t="s">
        <v>74</v>
      </c>
      <c r="R77" t="s">
        <v>74</v>
      </c>
      <c r="S77" t="s">
        <v>74</v>
      </c>
      <c r="T77" t="s">
        <v>1389</v>
      </c>
      <c r="U77" t="s">
        <v>1390</v>
      </c>
      <c r="V77" t="s">
        <v>1391</v>
      </c>
      <c r="W77" t="s">
        <v>1392</v>
      </c>
      <c r="X77" t="s">
        <v>1393</v>
      </c>
      <c r="Y77" t="s">
        <v>1394</v>
      </c>
      <c r="Z77" t="s">
        <v>1395</v>
      </c>
      <c r="AA77" t="s">
        <v>1396</v>
      </c>
      <c r="AB77" t="s">
        <v>1397</v>
      </c>
      <c r="AC77" t="s">
        <v>74</v>
      </c>
      <c r="AD77" t="s">
        <v>74</v>
      </c>
      <c r="AE77" t="s">
        <v>74</v>
      </c>
      <c r="AF77" t="s">
        <v>74</v>
      </c>
      <c r="AG77">
        <v>123</v>
      </c>
      <c r="AH77">
        <v>251</v>
      </c>
      <c r="AI77">
        <v>295</v>
      </c>
      <c r="AJ77">
        <v>2</v>
      </c>
      <c r="AK77">
        <v>86</v>
      </c>
      <c r="AL77" t="s">
        <v>817</v>
      </c>
      <c r="AM77" t="s">
        <v>818</v>
      </c>
      <c r="AN77" t="s">
        <v>819</v>
      </c>
      <c r="AO77" t="s">
        <v>1279</v>
      </c>
      <c r="AP77" t="s">
        <v>1280</v>
      </c>
      <c r="AQ77" t="s">
        <v>74</v>
      </c>
      <c r="AR77" t="s">
        <v>1281</v>
      </c>
      <c r="AS77" t="s">
        <v>1282</v>
      </c>
      <c r="AT77" t="s">
        <v>74</v>
      </c>
      <c r="AU77">
        <v>2007</v>
      </c>
      <c r="AV77">
        <v>54</v>
      </c>
      <c r="AW77" t="s">
        <v>1381</v>
      </c>
      <c r="AX77" t="s">
        <v>74</v>
      </c>
      <c r="AY77" t="s">
        <v>74</v>
      </c>
      <c r="AZ77" t="s">
        <v>74</v>
      </c>
      <c r="BA77" t="s">
        <v>74</v>
      </c>
      <c r="BB77">
        <v>687</v>
      </c>
      <c r="BC77">
        <v>705</v>
      </c>
      <c r="BD77" t="s">
        <v>74</v>
      </c>
      <c r="BE77" t="s">
        <v>1398</v>
      </c>
      <c r="BF77" t="str">
        <f>HYPERLINK("http://dx.doi.org/10.1016/j.dsr2.2007.01.007","http://dx.doi.org/10.1016/j.dsr2.2007.01.007")</f>
        <v>http://dx.doi.org/10.1016/j.dsr2.2007.01.007</v>
      </c>
      <c r="BG77" t="s">
        <v>74</v>
      </c>
      <c r="BH77" t="s">
        <v>74</v>
      </c>
      <c r="BI77">
        <v>19</v>
      </c>
      <c r="BJ77" t="s">
        <v>1260</v>
      </c>
      <c r="BK77" t="s">
        <v>97</v>
      </c>
      <c r="BL77" t="s">
        <v>1260</v>
      </c>
      <c r="BM77" t="s">
        <v>1383</v>
      </c>
      <c r="BN77" t="s">
        <v>74</v>
      </c>
      <c r="BO77" t="s">
        <v>74</v>
      </c>
      <c r="BP77" t="s">
        <v>74</v>
      </c>
      <c r="BQ77" t="s">
        <v>74</v>
      </c>
      <c r="BR77" t="s">
        <v>100</v>
      </c>
      <c r="BS77" t="s">
        <v>1399</v>
      </c>
      <c r="BT77" t="str">
        <f>HYPERLINK("https%3A%2F%2Fwww.webofscience.com%2Fwos%2Fwoscc%2Ffull-record%2FWOS:000247585300013","View Full Record in Web of Science")</f>
        <v>View Full Record in Web of Science</v>
      </c>
    </row>
    <row r="78" spans="1:72" x14ac:dyDescent="0.15">
      <c r="A78" t="s">
        <v>72</v>
      </c>
      <c r="B78" t="s">
        <v>1400</v>
      </c>
      <c r="C78" t="s">
        <v>74</v>
      </c>
      <c r="D78" t="s">
        <v>74</v>
      </c>
      <c r="E78" t="s">
        <v>74</v>
      </c>
      <c r="F78" t="s">
        <v>1401</v>
      </c>
      <c r="G78" t="s">
        <v>74</v>
      </c>
      <c r="H78" t="s">
        <v>74</v>
      </c>
      <c r="I78" t="s">
        <v>1402</v>
      </c>
      <c r="J78" t="s">
        <v>1266</v>
      </c>
      <c r="K78" t="s">
        <v>74</v>
      </c>
      <c r="L78" t="s">
        <v>74</v>
      </c>
      <c r="M78" t="s">
        <v>78</v>
      </c>
      <c r="N78" t="s">
        <v>79</v>
      </c>
      <c r="O78" t="s">
        <v>74</v>
      </c>
      <c r="P78" t="s">
        <v>74</v>
      </c>
      <c r="Q78" t="s">
        <v>74</v>
      </c>
      <c r="R78" t="s">
        <v>74</v>
      </c>
      <c r="S78" t="s">
        <v>74</v>
      </c>
      <c r="T78" t="s">
        <v>74</v>
      </c>
      <c r="U78" t="s">
        <v>1403</v>
      </c>
      <c r="V78" t="s">
        <v>1404</v>
      </c>
      <c r="W78" t="s">
        <v>1405</v>
      </c>
      <c r="X78" t="s">
        <v>1406</v>
      </c>
      <c r="Y78" t="s">
        <v>1407</v>
      </c>
      <c r="Z78" t="s">
        <v>1408</v>
      </c>
      <c r="AA78" t="s">
        <v>74</v>
      </c>
      <c r="AB78" t="s">
        <v>1409</v>
      </c>
      <c r="AC78" t="s">
        <v>74</v>
      </c>
      <c r="AD78" t="s">
        <v>74</v>
      </c>
      <c r="AE78" t="s">
        <v>74</v>
      </c>
      <c r="AF78" t="s">
        <v>74</v>
      </c>
      <c r="AG78">
        <v>74</v>
      </c>
      <c r="AH78">
        <v>14</v>
      </c>
      <c r="AI78">
        <v>17</v>
      </c>
      <c r="AJ78">
        <v>0</v>
      </c>
      <c r="AK78">
        <v>13</v>
      </c>
      <c r="AL78" t="s">
        <v>817</v>
      </c>
      <c r="AM78" t="s">
        <v>818</v>
      </c>
      <c r="AN78" t="s">
        <v>819</v>
      </c>
      <c r="AO78" t="s">
        <v>1279</v>
      </c>
      <c r="AP78" t="s">
        <v>1280</v>
      </c>
      <c r="AQ78" t="s">
        <v>74</v>
      </c>
      <c r="AR78" t="s">
        <v>1281</v>
      </c>
      <c r="AS78" t="s">
        <v>1282</v>
      </c>
      <c r="AT78" t="s">
        <v>74</v>
      </c>
      <c r="AU78">
        <v>2007</v>
      </c>
      <c r="AV78">
        <v>54</v>
      </c>
      <c r="AW78" t="s">
        <v>1381</v>
      </c>
      <c r="AX78" t="s">
        <v>74</v>
      </c>
      <c r="AY78" t="s">
        <v>74</v>
      </c>
      <c r="AZ78" t="s">
        <v>74</v>
      </c>
      <c r="BA78" t="s">
        <v>74</v>
      </c>
      <c r="BB78">
        <v>747</v>
      </c>
      <c r="BC78">
        <v>761</v>
      </c>
      <c r="BD78" t="s">
        <v>74</v>
      </c>
      <c r="BE78" t="s">
        <v>1410</v>
      </c>
      <c r="BF78" t="str">
        <f>HYPERLINK("http://dx.doi.org/10.1016/j.dsr2.2007.01.005","http://dx.doi.org/10.1016/j.dsr2.2007.01.005")</f>
        <v>http://dx.doi.org/10.1016/j.dsr2.2007.01.005</v>
      </c>
      <c r="BG78" t="s">
        <v>74</v>
      </c>
      <c r="BH78" t="s">
        <v>74</v>
      </c>
      <c r="BI78">
        <v>15</v>
      </c>
      <c r="BJ78" t="s">
        <v>1260</v>
      </c>
      <c r="BK78" t="s">
        <v>97</v>
      </c>
      <c r="BL78" t="s">
        <v>1260</v>
      </c>
      <c r="BM78" t="s">
        <v>1383</v>
      </c>
      <c r="BN78" t="s">
        <v>74</v>
      </c>
      <c r="BO78" t="s">
        <v>74</v>
      </c>
      <c r="BP78" t="s">
        <v>74</v>
      </c>
      <c r="BQ78" t="s">
        <v>74</v>
      </c>
      <c r="BR78" t="s">
        <v>100</v>
      </c>
      <c r="BS78" t="s">
        <v>1411</v>
      </c>
      <c r="BT78" t="str">
        <f>HYPERLINK("https%3A%2F%2Fwww.webofscience.com%2Fwos%2Fwoscc%2Ffull-record%2FWOS:000247585300016","View Full Record in Web of Science")</f>
        <v>View Full Record in Web of Science</v>
      </c>
    </row>
    <row r="79" spans="1:72" x14ac:dyDescent="0.15">
      <c r="A79" t="s">
        <v>72</v>
      </c>
      <c r="B79" t="s">
        <v>1412</v>
      </c>
      <c r="C79" t="s">
        <v>74</v>
      </c>
      <c r="D79" t="s">
        <v>74</v>
      </c>
      <c r="E79" t="s">
        <v>74</v>
      </c>
      <c r="F79" t="s">
        <v>1413</v>
      </c>
      <c r="G79" t="s">
        <v>74</v>
      </c>
      <c r="H79" t="s">
        <v>74</v>
      </c>
      <c r="I79" t="s">
        <v>1414</v>
      </c>
      <c r="J79" t="s">
        <v>1266</v>
      </c>
      <c r="K79" t="s">
        <v>74</v>
      </c>
      <c r="L79" t="s">
        <v>74</v>
      </c>
      <c r="M79" t="s">
        <v>78</v>
      </c>
      <c r="N79" t="s">
        <v>79</v>
      </c>
      <c r="O79" t="s">
        <v>74</v>
      </c>
      <c r="P79" t="s">
        <v>74</v>
      </c>
      <c r="Q79" t="s">
        <v>74</v>
      </c>
      <c r="R79" t="s">
        <v>74</v>
      </c>
      <c r="S79" t="s">
        <v>74</v>
      </c>
      <c r="T79" t="s">
        <v>1415</v>
      </c>
      <c r="U79" t="s">
        <v>1416</v>
      </c>
      <c r="V79" t="s">
        <v>1417</v>
      </c>
      <c r="W79" t="s">
        <v>1418</v>
      </c>
      <c r="X79" t="s">
        <v>1419</v>
      </c>
      <c r="Y79" t="s">
        <v>1420</v>
      </c>
      <c r="Z79" t="s">
        <v>1421</v>
      </c>
      <c r="AA79" t="s">
        <v>1422</v>
      </c>
      <c r="AB79" t="s">
        <v>1423</v>
      </c>
      <c r="AC79" t="s">
        <v>74</v>
      </c>
      <c r="AD79" t="s">
        <v>74</v>
      </c>
      <c r="AE79" t="s">
        <v>74</v>
      </c>
      <c r="AF79" t="s">
        <v>74</v>
      </c>
      <c r="AG79">
        <v>56</v>
      </c>
      <c r="AH79">
        <v>91</v>
      </c>
      <c r="AI79">
        <v>100</v>
      </c>
      <c r="AJ79">
        <v>2</v>
      </c>
      <c r="AK79">
        <v>27</v>
      </c>
      <c r="AL79" t="s">
        <v>817</v>
      </c>
      <c r="AM79" t="s">
        <v>818</v>
      </c>
      <c r="AN79" t="s">
        <v>819</v>
      </c>
      <c r="AO79" t="s">
        <v>1279</v>
      </c>
      <c r="AP79" t="s">
        <v>1280</v>
      </c>
      <c r="AQ79" t="s">
        <v>74</v>
      </c>
      <c r="AR79" t="s">
        <v>1281</v>
      </c>
      <c r="AS79" t="s">
        <v>1282</v>
      </c>
      <c r="AT79" t="s">
        <v>74</v>
      </c>
      <c r="AU79">
        <v>2007</v>
      </c>
      <c r="AV79">
        <v>54</v>
      </c>
      <c r="AW79" t="s">
        <v>1424</v>
      </c>
      <c r="AX79" t="s">
        <v>74</v>
      </c>
      <c r="AY79" t="s">
        <v>74</v>
      </c>
      <c r="AZ79" t="s">
        <v>74</v>
      </c>
      <c r="BA79" t="s">
        <v>74</v>
      </c>
      <c r="BB79">
        <v>943</v>
      </c>
      <c r="BC79">
        <v>960</v>
      </c>
      <c r="BD79" t="s">
        <v>74</v>
      </c>
      <c r="BE79" t="s">
        <v>1425</v>
      </c>
      <c r="BF79" t="str">
        <f>HYPERLINK("http://dx.doi.org/10.1016/j.dsr2.2007.02.006","http://dx.doi.org/10.1016/j.dsr2.2007.02.006")</f>
        <v>http://dx.doi.org/10.1016/j.dsr2.2007.02.006</v>
      </c>
      <c r="BG79" t="s">
        <v>74</v>
      </c>
      <c r="BH79" t="s">
        <v>74</v>
      </c>
      <c r="BI79">
        <v>18</v>
      </c>
      <c r="BJ79" t="s">
        <v>1260</v>
      </c>
      <c r="BK79" t="s">
        <v>97</v>
      </c>
      <c r="BL79" t="s">
        <v>1260</v>
      </c>
      <c r="BM79" t="s">
        <v>1426</v>
      </c>
      <c r="BN79" t="s">
        <v>74</v>
      </c>
      <c r="BO79" t="s">
        <v>74</v>
      </c>
      <c r="BP79" t="s">
        <v>74</v>
      </c>
      <c r="BQ79" t="s">
        <v>74</v>
      </c>
      <c r="BR79" t="s">
        <v>100</v>
      </c>
      <c r="BS79" t="s">
        <v>1427</v>
      </c>
      <c r="BT79" t="str">
        <f>HYPERLINK("https%3A%2F%2Fwww.webofscience.com%2Fwos%2Fwoscc%2Ffull-record%2FWOS:000249806100009","View Full Record in Web of Science")</f>
        <v>View Full Record in Web of Science</v>
      </c>
    </row>
    <row r="80" spans="1:72" x14ac:dyDescent="0.15">
      <c r="A80" t="s">
        <v>72</v>
      </c>
      <c r="B80" t="s">
        <v>1428</v>
      </c>
      <c r="C80" t="s">
        <v>74</v>
      </c>
      <c r="D80" t="s">
        <v>74</v>
      </c>
      <c r="E80" t="s">
        <v>74</v>
      </c>
      <c r="F80" t="s">
        <v>1429</v>
      </c>
      <c r="G80" t="s">
        <v>74</v>
      </c>
      <c r="H80" t="s">
        <v>74</v>
      </c>
      <c r="I80" t="s">
        <v>1430</v>
      </c>
      <c r="J80" t="s">
        <v>1266</v>
      </c>
      <c r="K80" t="s">
        <v>74</v>
      </c>
      <c r="L80" t="s">
        <v>74</v>
      </c>
      <c r="M80" t="s">
        <v>78</v>
      </c>
      <c r="N80" t="s">
        <v>1431</v>
      </c>
      <c r="O80" t="s">
        <v>74</v>
      </c>
      <c r="P80" t="s">
        <v>74</v>
      </c>
      <c r="Q80" t="s">
        <v>74</v>
      </c>
      <c r="R80" t="s">
        <v>74</v>
      </c>
      <c r="S80" t="s">
        <v>74</v>
      </c>
      <c r="T80" t="s">
        <v>1432</v>
      </c>
      <c r="U80" t="s">
        <v>1433</v>
      </c>
      <c r="V80" t="s">
        <v>1434</v>
      </c>
      <c r="W80" t="s">
        <v>1435</v>
      </c>
      <c r="X80" t="s">
        <v>1436</v>
      </c>
      <c r="Y80" t="s">
        <v>1437</v>
      </c>
      <c r="Z80" t="s">
        <v>1438</v>
      </c>
      <c r="AA80" t="s">
        <v>1439</v>
      </c>
      <c r="AB80" t="s">
        <v>1440</v>
      </c>
      <c r="AC80" t="s">
        <v>1441</v>
      </c>
      <c r="AD80" t="s">
        <v>1254</v>
      </c>
      <c r="AE80" t="s">
        <v>74</v>
      </c>
      <c r="AF80" t="s">
        <v>74</v>
      </c>
      <c r="AG80">
        <v>28</v>
      </c>
      <c r="AH80">
        <v>22</v>
      </c>
      <c r="AI80">
        <v>24</v>
      </c>
      <c r="AJ80">
        <v>0</v>
      </c>
      <c r="AK80">
        <v>7</v>
      </c>
      <c r="AL80" t="s">
        <v>817</v>
      </c>
      <c r="AM80" t="s">
        <v>818</v>
      </c>
      <c r="AN80" t="s">
        <v>819</v>
      </c>
      <c r="AO80" t="s">
        <v>1279</v>
      </c>
      <c r="AP80" t="s">
        <v>1280</v>
      </c>
      <c r="AQ80" t="s">
        <v>74</v>
      </c>
      <c r="AR80" t="s">
        <v>1281</v>
      </c>
      <c r="AS80" t="s">
        <v>1282</v>
      </c>
      <c r="AT80" t="s">
        <v>74</v>
      </c>
      <c r="AU80">
        <v>2007</v>
      </c>
      <c r="AV80">
        <v>54</v>
      </c>
      <c r="AW80" t="s">
        <v>1442</v>
      </c>
      <c r="AX80" t="s">
        <v>74</v>
      </c>
      <c r="AY80" t="s">
        <v>74</v>
      </c>
      <c r="AZ80" t="s">
        <v>74</v>
      </c>
      <c r="BA80" t="s">
        <v>74</v>
      </c>
      <c r="BB80">
        <v>1645</v>
      </c>
      <c r="BC80">
        <v>1651</v>
      </c>
      <c r="BD80" t="s">
        <v>74</v>
      </c>
      <c r="BE80" t="s">
        <v>1443</v>
      </c>
      <c r="BF80" t="str">
        <f>HYPERLINK("http://dx.doi.org/10.1016/j.dsr2.2007.07.001","http://dx.doi.org/10.1016/j.dsr2.2007.07.001")</f>
        <v>http://dx.doi.org/10.1016/j.dsr2.2007.07.001</v>
      </c>
      <c r="BG80" t="s">
        <v>74</v>
      </c>
      <c r="BH80" t="s">
        <v>74</v>
      </c>
      <c r="BI80">
        <v>7</v>
      </c>
      <c r="BJ80" t="s">
        <v>1260</v>
      </c>
      <c r="BK80" t="s">
        <v>97</v>
      </c>
      <c r="BL80" t="s">
        <v>1260</v>
      </c>
      <c r="BM80" t="s">
        <v>1444</v>
      </c>
      <c r="BN80" t="s">
        <v>74</v>
      </c>
      <c r="BO80" t="s">
        <v>74</v>
      </c>
      <c r="BP80" t="s">
        <v>74</v>
      </c>
      <c r="BQ80" t="s">
        <v>74</v>
      </c>
      <c r="BR80" t="s">
        <v>100</v>
      </c>
      <c r="BS80" t="s">
        <v>1445</v>
      </c>
      <c r="BT80" t="str">
        <f>HYPERLINK("https%3A%2F%2Fwww.webofscience.com%2Fwos%2Fwoscc%2Ffull-record%2FWOS:000250974300001","View Full Record in Web of Science")</f>
        <v>View Full Record in Web of Science</v>
      </c>
    </row>
    <row r="81" spans="1:72" x14ac:dyDescent="0.15">
      <c r="A81" t="s">
        <v>72</v>
      </c>
      <c r="B81" t="s">
        <v>1446</v>
      </c>
      <c r="C81" t="s">
        <v>74</v>
      </c>
      <c r="D81" t="s">
        <v>74</v>
      </c>
      <c r="E81" t="s">
        <v>74</v>
      </c>
      <c r="F81" t="s">
        <v>1447</v>
      </c>
      <c r="G81" t="s">
        <v>74</v>
      </c>
      <c r="H81" t="s">
        <v>74</v>
      </c>
      <c r="I81" t="s">
        <v>1448</v>
      </c>
      <c r="J81" t="s">
        <v>1266</v>
      </c>
      <c r="K81" t="s">
        <v>74</v>
      </c>
      <c r="L81" t="s">
        <v>74</v>
      </c>
      <c r="M81" t="s">
        <v>78</v>
      </c>
      <c r="N81" t="s">
        <v>79</v>
      </c>
      <c r="O81" t="s">
        <v>74</v>
      </c>
      <c r="P81" t="s">
        <v>74</v>
      </c>
      <c r="Q81" t="s">
        <v>74</v>
      </c>
      <c r="R81" t="s">
        <v>74</v>
      </c>
      <c r="S81" t="s">
        <v>74</v>
      </c>
      <c r="T81" t="s">
        <v>1449</v>
      </c>
      <c r="U81" t="s">
        <v>1450</v>
      </c>
      <c r="V81" t="s">
        <v>1451</v>
      </c>
      <c r="W81" t="s">
        <v>1452</v>
      </c>
      <c r="X81" t="s">
        <v>1453</v>
      </c>
      <c r="Y81" t="s">
        <v>1454</v>
      </c>
      <c r="Z81" t="s">
        <v>1455</v>
      </c>
      <c r="AA81" t="s">
        <v>1456</v>
      </c>
      <c r="AB81" t="s">
        <v>74</v>
      </c>
      <c r="AC81" t="s">
        <v>74</v>
      </c>
      <c r="AD81" t="s">
        <v>74</v>
      </c>
      <c r="AE81" t="s">
        <v>74</v>
      </c>
      <c r="AF81" t="s">
        <v>74</v>
      </c>
      <c r="AG81">
        <v>73</v>
      </c>
      <c r="AH81">
        <v>21</v>
      </c>
      <c r="AI81">
        <v>24</v>
      </c>
      <c r="AJ81">
        <v>0</v>
      </c>
      <c r="AK81">
        <v>20</v>
      </c>
      <c r="AL81" t="s">
        <v>817</v>
      </c>
      <c r="AM81" t="s">
        <v>818</v>
      </c>
      <c r="AN81" t="s">
        <v>819</v>
      </c>
      <c r="AO81" t="s">
        <v>1279</v>
      </c>
      <c r="AP81" t="s">
        <v>1280</v>
      </c>
      <c r="AQ81" t="s">
        <v>74</v>
      </c>
      <c r="AR81" t="s">
        <v>1281</v>
      </c>
      <c r="AS81" t="s">
        <v>1282</v>
      </c>
      <c r="AT81" t="s">
        <v>74</v>
      </c>
      <c r="AU81">
        <v>2007</v>
      </c>
      <c r="AV81">
        <v>54</v>
      </c>
      <c r="AW81" t="s">
        <v>1442</v>
      </c>
      <c r="AX81" t="s">
        <v>74</v>
      </c>
      <c r="AY81" t="s">
        <v>74</v>
      </c>
      <c r="AZ81" t="s">
        <v>74</v>
      </c>
      <c r="BA81" t="s">
        <v>74</v>
      </c>
      <c r="BB81">
        <v>1652</v>
      </c>
      <c r="BC81">
        <v>1681</v>
      </c>
      <c r="BD81" t="s">
        <v>74</v>
      </c>
      <c r="BE81" t="s">
        <v>1457</v>
      </c>
      <c r="BF81" t="str">
        <f>HYPERLINK("http://dx.doi.org/10.1016/j.dsr2.2007.07.007","http://dx.doi.org/10.1016/j.dsr2.2007.07.007")</f>
        <v>http://dx.doi.org/10.1016/j.dsr2.2007.07.007</v>
      </c>
      <c r="BG81" t="s">
        <v>74</v>
      </c>
      <c r="BH81" t="s">
        <v>74</v>
      </c>
      <c r="BI81">
        <v>30</v>
      </c>
      <c r="BJ81" t="s">
        <v>1260</v>
      </c>
      <c r="BK81" t="s">
        <v>97</v>
      </c>
      <c r="BL81" t="s">
        <v>1260</v>
      </c>
      <c r="BM81" t="s">
        <v>1444</v>
      </c>
      <c r="BN81" t="s">
        <v>74</v>
      </c>
      <c r="BO81" t="s">
        <v>74</v>
      </c>
      <c r="BP81" t="s">
        <v>74</v>
      </c>
      <c r="BQ81" t="s">
        <v>74</v>
      </c>
      <c r="BR81" t="s">
        <v>100</v>
      </c>
      <c r="BS81" t="s">
        <v>1458</v>
      </c>
      <c r="BT81" t="str">
        <f>HYPERLINK("https%3A%2F%2Fwww.webofscience.com%2Fwos%2Fwoscc%2Ffull-record%2FWOS:000250974300002","View Full Record in Web of Science")</f>
        <v>View Full Record in Web of Science</v>
      </c>
    </row>
    <row r="82" spans="1:72" x14ac:dyDescent="0.15">
      <c r="A82" t="s">
        <v>72</v>
      </c>
      <c r="B82" t="s">
        <v>1459</v>
      </c>
      <c r="C82" t="s">
        <v>74</v>
      </c>
      <c r="D82" t="s">
        <v>74</v>
      </c>
      <c r="E82" t="s">
        <v>74</v>
      </c>
      <c r="F82" t="s">
        <v>1460</v>
      </c>
      <c r="G82" t="s">
        <v>74</v>
      </c>
      <c r="H82" t="s">
        <v>74</v>
      </c>
      <c r="I82" t="s">
        <v>1461</v>
      </c>
      <c r="J82" t="s">
        <v>1266</v>
      </c>
      <c r="K82" t="s">
        <v>74</v>
      </c>
      <c r="L82" t="s">
        <v>74</v>
      </c>
      <c r="M82" t="s">
        <v>78</v>
      </c>
      <c r="N82" t="s">
        <v>79</v>
      </c>
      <c r="O82" t="s">
        <v>74</v>
      </c>
      <c r="P82" t="s">
        <v>74</v>
      </c>
      <c r="Q82" t="s">
        <v>74</v>
      </c>
      <c r="R82" t="s">
        <v>74</v>
      </c>
      <c r="S82" t="s">
        <v>74</v>
      </c>
      <c r="T82" t="s">
        <v>1462</v>
      </c>
      <c r="U82" t="s">
        <v>1463</v>
      </c>
      <c r="V82" t="s">
        <v>1464</v>
      </c>
      <c r="W82" t="s">
        <v>1465</v>
      </c>
      <c r="X82" t="s">
        <v>1466</v>
      </c>
      <c r="Y82" t="s">
        <v>1467</v>
      </c>
      <c r="Z82" t="s">
        <v>1468</v>
      </c>
      <c r="AA82" t="s">
        <v>1469</v>
      </c>
      <c r="AB82" t="s">
        <v>1470</v>
      </c>
      <c r="AC82" t="s">
        <v>74</v>
      </c>
      <c r="AD82" t="s">
        <v>74</v>
      </c>
      <c r="AE82" t="s">
        <v>74</v>
      </c>
      <c r="AF82" t="s">
        <v>74</v>
      </c>
      <c r="AG82">
        <v>36</v>
      </c>
      <c r="AH82">
        <v>31</v>
      </c>
      <c r="AI82">
        <v>40</v>
      </c>
      <c r="AJ82">
        <v>0</v>
      </c>
      <c r="AK82">
        <v>11</v>
      </c>
      <c r="AL82" t="s">
        <v>817</v>
      </c>
      <c r="AM82" t="s">
        <v>818</v>
      </c>
      <c r="AN82" t="s">
        <v>819</v>
      </c>
      <c r="AO82" t="s">
        <v>1279</v>
      </c>
      <c r="AP82" t="s">
        <v>74</v>
      </c>
      <c r="AQ82" t="s">
        <v>74</v>
      </c>
      <c r="AR82" t="s">
        <v>1281</v>
      </c>
      <c r="AS82" t="s">
        <v>1282</v>
      </c>
      <c r="AT82" t="s">
        <v>74</v>
      </c>
      <c r="AU82">
        <v>2007</v>
      </c>
      <c r="AV82">
        <v>54</v>
      </c>
      <c r="AW82" t="s">
        <v>1442</v>
      </c>
      <c r="AX82" t="s">
        <v>74</v>
      </c>
      <c r="AY82" t="s">
        <v>74</v>
      </c>
      <c r="AZ82" t="s">
        <v>74</v>
      </c>
      <c r="BA82" t="s">
        <v>74</v>
      </c>
      <c r="BB82">
        <v>1682</v>
      </c>
      <c r="BC82">
        <v>1690</v>
      </c>
      <c r="BD82" t="s">
        <v>74</v>
      </c>
      <c r="BE82" t="s">
        <v>1471</v>
      </c>
      <c r="BF82" t="str">
        <f>HYPERLINK("http://dx.doi.org/10.1016/j.dsr2.2007.07.002","http://dx.doi.org/10.1016/j.dsr2.2007.07.002")</f>
        <v>http://dx.doi.org/10.1016/j.dsr2.2007.07.002</v>
      </c>
      <c r="BG82" t="s">
        <v>74</v>
      </c>
      <c r="BH82" t="s">
        <v>74</v>
      </c>
      <c r="BI82">
        <v>9</v>
      </c>
      <c r="BJ82" t="s">
        <v>1260</v>
      </c>
      <c r="BK82" t="s">
        <v>97</v>
      </c>
      <c r="BL82" t="s">
        <v>1260</v>
      </c>
      <c r="BM82" t="s">
        <v>1444</v>
      </c>
      <c r="BN82" t="s">
        <v>74</v>
      </c>
      <c r="BO82" t="s">
        <v>74</v>
      </c>
      <c r="BP82" t="s">
        <v>74</v>
      </c>
      <c r="BQ82" t="s">
        <v>74</v>
      </c>
      <c r="BR82" t="s">
        <v>100</v>
      </c>
      <c r="BS82" t="s">
        <v>1472</v>
      </c>
      <c r="BT82" t="str">
        <f>HYPERLINK("https%3A%2F%2Fwww.webofscience.com%2Fwos%2Fwoscc%2Ffull-record%2FWOS:000250974300003","View Full Record in Web of Science")</f>
        <v>View Full Record in Web of Science</v>
      </c>
    </row>
    <row r="83" spans="1:72" x14ac:dyDescent="0.15">
      <c r="A83" t="s">
        <v>72</v>
      </c>
      <c r="B83" t="s">
        <v>1473</v>
      </c>
      <c r="C83" t="s">
        <v>74</v>
      </c>
      <c r="D83" t="s">
        <v>74</v>
      </c>
      <c r="E83" t="s">
        <v>74</v>
      </c>
      <c r="F83" t="s">
        <v>1474</v>
      </c>
      <c r="G83" t="s">
        <v>74</v>
      </c>
      <c r="H83" t="s">
        <v>74</v>
      </c>
      <c r="I83" t="s">
        <v>1475</v>
      </c>
      <c r="J83" t="s">
        <v>1266</v>
      </c>
      <c r="K83" t="s">
        <v>74</v>
      </c>
      <c r="L83" t="s">
        <v>74</v>
      </c>
      <c r="M83" t="s">
        <v>78</v>
      </c>
      <c r="N83" t="s">
        <v>79</v>
      </c>
      <c r="O83" t="s">
        <v>74</v>
      </c>
      <c r="P83" t="s">
        <v>74</v>
      </c>
      <c r="Q83" t="s">
        <v>74</v>
      </c>
      <c r="R83" t="s">
        <v>74</v>
      </c>
      <c r="S83" t="s">
        <v>74</v>
      </c>
      <c r="T83" t="s">
        <v>1476</v>
      </c>
      <c r="U83" t="s">
        <v>1477</v>
      </c>
      <c r="V83" t="s">
        <v>1478</v>
      </c>
      <c r="W83" t="s">
        <v>1479</v>
      </c>
      <c r="X83" t="s">
        <v>1480</v>
      </c>
      <c r="Y83" t="s">
        <v>1481</v>
      </c>
      <c r="Z83" t="s">
        <v>1482</v>
      </c>
      <c r="AA83" t="s">
        <v>1483</v>
      </c>
      <c r="AB83" t="s">
        <v>1484</v>
      </c>
      <c r="AC83" t="s">
        <v>1485</v>
      </c>
      <c r="AD83" t="s">
        <v>158</v>
      </c>
      <c r="AE83" t="s">
        <v>74</v>
      </c>
      <c r="AF83" t="s">
        <v>74</v>
      </c>
      <c r="AG83">
        <v>82</v>
      </c>
      <c r="AH83">
        <v>19</v>
      </c>
      <c r="AI83">
        <v>19</v>
      </c>
      <c r="AJ83">
        <v>0</v>
      </c>
      <c r="AK83">
        <v>13</v>
      </c>
      <c r="AL83" t="s">
        <v>817</v>
      </c>
      <c r="AM83" t="s">
        <v>818</v>
      </c>
      <c r="AN83" t="s">
        <v>819</v>
      </c>
      <c r="AO83" t="s">
        <v>1279</v>
      </c>
      <c r="AP83" t="s">
        <v>1280</v>
      </c>
      <c r="AQ83" t="s">
        <v>74</v>
      </c>
      <c r="AR83" t="s">
        <v>1281</v>
      </c>
      <c r="AS83" t="s">
        <v>1282</v>
      </c>
      <c r="AT83" t="s">
        <v>74</v>
      </c>
      <c r="AU83">
        <v>2007</v>
      </c>
      <c r="AV83">
        <v>54</v>
      </c>
      <c r="AW83" t="s">
        <v>1442</v>
      </c>
      <c r="AX83" t="s">
        <v>74</v>
      </c>
      <c r="AY83" t="s">
        <v>74</v>
      </c>
      <c r="AZ83" t="s">
        <v>74</v>
      </c>
      <c r="BA83" t="s">
        <v>74</v>
      </c>
      <c r="BB83">
        <v>1691</v>
      </c>
      <c r="BC83">
        <v>1719</v>
      </c>
      <c r="BD83" t="s">
        <v>74</v>
      </c>
      <c r="BE83" t="s">
        <v>1486</v>
      </c>
      <c r="BF83" t="str">
        <f>HYPERLINK("http://dx.doi.org/10.1016/j.dsr2.2007.07.003","http://dx.doi.org/10.1016/j.dsr2.2007.07.003")</f>
        <v>http://dx.doi.org/10.1016/j.dsr2.2007.07.003</v>
      </c>
      <c r="BG83" t="s">
        <v>74</v>
      </c>
      <c r="BH83" t="s">
        <v>74</v>
      </c>
      <c r="BI83">
        <v>29</v>
      </c>
      <c r="BJ83" t="s">
        <v>1260</v>
      </c>
      <c r="BK83" t="s">
        <v>97</v>
      </c>
      <c r="BL83" t="s">
        <v>1260</v>
      </c>
      <c r="BM83" t="s">
        <v>1444</v>
      </c>
      <c r="BN83" t="s">
        <v>74</v>
      </c>
      <c r="BO83" t="s">
        <v>74</v>
      </c>
      <c r="BP83" t="s">
        <v>74</v>
      </c>
      <c r="BQ83" t="s">
        <v>74</v>
      </c>
      <c r="BR83" t="s">
        <v>100</v>
      </c>
      <c r="BS83" t="s">
        <v>1487</v>
      </c>
      <c r="BT83" t="str">
        <f>HYPERLINK("https%3A%2F%2Fwww.webofscience.com%2Fwos%2Fwoscc%2Ffull-record%2FWOS:000250974300004","View Full Record in Web of Science")</f>
        <v>View Full Record in Web of Science</v>
      </c>
    </row>
    <row r="84" spans="1:72" x14ac:dyDescent="0.15">
      <c r="A84" t="s">
        <v>72</v>
      </c>
      <c r="B84" t="s">
        <v>1488</v>
      </c>
      <c r="C84" t="s">
        <v>74</v>
      </c>
      <c r="D84" t="s">
        <v>74</v>
      </c>
      <c r="E84" t="s">
        <v>74</v>
      </c>
      <c r="F84" t="s">
        <v>1489</v>
      </c>
      <c r="G84" t="s">
        <v>74</v>
      </c>
      <c r="H84" t="s">
        <v>74</v>
      </c>
      <c r="I84" t="s">
        <v>1490</v>
      </c>
      <c r="J84" t="s">
        <v>1266</v>
      </c>
      <c r="K84" t="s">
        <v>74</v>
      </c>
      <c r="L84" t="s">
        <v>74</v>
      </c>
      <c r="M84" t="s">
        <v>78</v>
      </c>
      <c r="N84" t="s">
        <v>79</v>
      </c>
      <c r="O84" t="s">
        <v>74</v>
      </c>
      <c r="P84" t="s">
        <v>74</v>
      </c>
      <c r="Q84" t="s">
        <v>74</v>
      </c>
      <c r="R84" t="s">
        <v>74</v>
      </c>
      <c r="S84" t="s">
        <v>74</v>
      </c>
      <c r="T84" t="s">
        <v>1491</v>
      </c>
      <c r="U84" t="s">
        <v>1492</v>
      </c>
      <c r="V84" t="s">
        <v>1493</v>
      </c>
      <c r="W84" t="s">
        <v>1494</v>
      </c>
      <c r="X84" t="s">
        <v>1495</v>
      </c>
      <c r="Y84" t="s">
        <v>1496</v>
      </c>
      <c r="Z84" t="s">
        <v>1497</v>
      </c>
      <c r="AA84" t="s">
        <v>1498</v>
      </c>
      <c r="AB84" t="s">
        <v>1440</v>
      </c>
      <c r="AC84" t="s">
        <v>1441</v>
      </c>
      <c r="AD84" t="s">
        <v>1254</v>
      </c>
      <c r="AE84" t="s">
        <v>74</v>
      </c>
      <c r="AF84" t="s">
        <v>74</v>
      </c>
      <c r="AG84">
        <v>41</v>
      </c>
      <c r="AH84">
        <v>23</v>
      </c>
      <c r="AI84">
        <v>27</v>
      </c>
      <c r="AJ84">
        <v>0</v>
      </c>
      <c r="AK84">
        <v>13</v>
      </c>
      <c r="AL84" t="s">
        <v>817</v>
      </c>
      <c r="AM84" t="s">
        <v>818</v>
      </c>
      <c r="AN84" t="s">
        <v>819</v>
      </c>
      <c r="AO84" t="s">
        <v>1279</v>
      </c>
      <c r="AP84" t="s">
        <v>74</v>
      </c>
      <c r="AQ84" t="s">
        <v>74</v>
      </c>
      <c r="AR84" t="s">
        <v>1281</v>
      </c>
      <c r="AS84" t="s">
        <v>1282</v>
      </c>
      <c r="AT84" t="s">
        <v>74</v>
      </c>
      <c r="AU84">
        <v>2007</v>
      </c>
      <c r="AV84">
        <v>54</v>
      </c>
      <c r="AW84" t="s">
        <v>1442</v>
      </c>
      <c r="AX84" t="s">
        <v>74</v>
      </c>
      <c r="AY84" t="s">
        <v>74</v>
      </c>
      <c r="AZ84" t="s">
        <v>74</v>
      </c>
      <c r="BA84" t="s">
        <v>74</v>
      </c>
      <c r="BB84">
        <v>1720</v>
      </c>
      <c r="BC84">
        <v>1726</v>
      </c>
      <c r="BD84" t="s">
        <v>74</v>
      </c>
      <c r="BE84" t="s">
        <v>1499</v>
      </c>
      <c r="BF84" t="str">
        <f>HYPERLINK("http://dx.doi.org/10.1016/j.dsr2.2007.07.016","http://dx.doi.org/10.1016/j.dsr2.2007.07.016")</f>
        <v>http://dx.doi.org/10.1016/j.dsr2.2007.07.016</v>
      </c>
      <c r="BG84" t="s">
        <v>74</v>
      </c>
      <c r="BH84" t="s">
        <v>74</v>
      </c>
      <c r="BI84">
        <v>7</v>
      </c>
      <c r="BJ84" t="s">
        <v>1260</v>
      </c>
      <c r="BK84" t="s">
        <v>97</v>
      </c>
      <c r="BL84" t="s">
        <v>1260</v>
      </c>
      <c r="BM84" t="s">
        <v>1444</v>
      </c>
      <c r="BN84" t="s">
        <v>74</v>
      </c>
      <c r="BO84" t="s">
        <v>74</v>
      </c>
      <c r="BP84" t="s">
        <v>74</v>
      </c>
      <c r="BQ84" t="s">
        <v>74</v>
      </c>
      <c r="BR84" t="s">
        <v>100</v>
      </c>
      <c r="BS84" t="s">
        <v>1500</v>
      </c>
      <c r="BT84" t="str">
        <f>HYPERLINK("https%3A%2F%2Fwww.webofscience.com%2Fwos%2Fwoscc%2Ffull-record%2FWOS:000250974300005","View Full Record in Web of Science")</f>
        <v>View Full Record in Web of Science</v>
      </c>
    </row>
    <row r="85" spans="1:72" x14ac:dyDescent="0.15">
      <c r="A85" t="s">
        <v>72</v>
      </c>
      <c r="B85" t="s">
        <v>1501</v>
      </c>
      <c r="C85" t="s">
        <v>74</v>
      </c>
      <c r="D85" t="s">
        <v>74</v>
      </c>
      <c r="E85" t="s">
        <v>74</v>
      </c>
      <c r="F85" t="s">
        <v>1502</v>
      </c>
      <c r="G85" t="s">
        <v>74</v>
      </c>
      <c r="H85" t="s">
        <v>74</v>
      </c>
      <c r="I85" t="s">
        <v>1503</v>
      </c>
      <c r="J85" t="s">
        <v>1266</v>
      </c>
      <c r="K85" t="s">
        <v>74</v>
      </c>
      <c r="L85" t="s">
        <v>74</v>
      </c>
      <c r="M85" t="s">
        <v>78</v>
      </c>
      <c r="N85" t="s">
        <v>79</v>
      </c>
      <c r="O85" t="s">
        <v>74</v>
      </c>
      <c r="P85" t="s">
        <v>74</v>
      </c>
      <c r="Q85" t="s">
        <v>74</v>
      </c>
      <c r="R85" t="s">
        <v>74</v>
      </c>
      <c r="S85" t="s">
        <v>74</v>
      </c>
      <c r="T85" t="s">
        <v>1504</v>
      </c>
      <c r="U85" t="s">
        <v>1505</v>
      </c>
      <c r="V85" t="s">
        <v>1506</v>
      </c>
      <c r="W85" t="s">
        <v>1507</v>
      </c>
      <c r="X85" t="s">
        <v>1508</v>
      </c>
      <c r="Y85" t="s">
        <v>1509</v>
      </c>
      <c r="Z85" t="s">
        <v>1510</v>
      </c>
      <c r="AA85" t="s">
        <v>1511</v>
      </c>
      <c r="AB85" t="s">
        <v>74</v>
      </c>
      <c r="AC85" t="s">
        <v>74</v>
      </c>
      <c r="AD85" t="s">
        <v>74</v>
      </c>
      <c r="AE85" t="s">
        <v>74</v>
      </c>
      <c r="AF85" t="s">
        <v>74</v>
      </c>
      <c r="AG85">
        <v>40</v>
      </c>
      <c r="AH85">
        <v>26</v>
      </c>
      <c r="AI85">
        <v>34</v>
      </c>
      <c r="AJ85">
        <v>0</v>
      </c>
      <c r="AK85">
        <v>15</v>
      </c>
      <c r="AL85" t="s">
        <v>817</v>
      </c>
      <c r="AM85" t="s">
        <v>818</v>
      </c>
      <c r="AN85" t="s">
        <v>819</v>
      </c>
      <c r="AO85" t="s">
        <v>1279</v>
      </c>
      <c r="AP85" t="s">
        <v>1280</v>
      </c>
      <c r="AQ85" t="s">
        <v>74</v>
      </c>
      <c r="AR85" t="s">
        <v>1281</v>
      </c>
      <c r="AS85" t="s">
        <v>1282</v>
      </c>
      <c r="AT85" t="s">
        <v>74</v>
      </c>
      <c r="AU85">
        <v>2007</v>
      </c>
      <c r="AV85">
        <v>54</v>
      </c>
      <c r="AW85" t="s">
        <v>1442</v>
      </c>
      <c r="AX85" t="s">
        <v>74</v>
      </c>
      <c r="AY85" t="s">
        <v>74</v>
      </c>
      <c r="AZ85" t="s">
        <v>74</v>
      </c>
      <c r="BA85" t="s">
        <v>74</v>
      </c>
      <c r="BB85">
        <v>1752</v>
      </c>
      <c r="BC85">
        <v>1759</v>
      </c>
      <c r="BD85" t="s">
        <v>74</v>
      </c>
      <c r="BE85" t="s">
        <v>1512</v>
      </c>
      <c r="BF85" t="str">
        <f>HYPERLINK("http://dx.doi.org/10.1016/j.dsr2.2007.07.014","http://dx.doi.org/10.1016/j.dsr2.2007.07.014")</f>
        <v>http://dx.doi.org/10.1016/j.dsr2.2007.07.014</v>
      </c>
      <c r="BG85" t="s">
        <v>74</v>
      </c>
      <c r="BH85" t="s">
        <v>74</v>
      </c>
      <c r="BI85">
        <v>8</v>
      </c>
      <c r="BJ85" t="s">
        <v>1260</v>
      </c>
      <c r="BK85" t="s">
        <v>97</v>
      </c>
      <c r="BL85" t="s">
        <v>1260</v>
      </c>
      <c r="BM85" t="s">
        <v>1444</v>
      </c>
      <c r="BN85" t="s">
        <v>74</v>
      </c>
      <c r="BO85" t="s">
        <v>74</v>
      </c>
      <c r="BP85" t="s">
        <v>74</v>
      </c>
      <c r="BQ85" t="s">
        <v>74</v>
      </c>
      <c r="BR85" t="s">
        <v>100</v>
      </c>
      <c r="BS85" t="s">
        <v>1513</v>
      </c>
      <c r="BT85" t="str">
        <f>HYPERLINK("https%3A%2F%2Fwww.webofscience.com%2Fwos%2Fwoscc%2Ffull-record%2FWOS:000250974300008","View Full Record in Web of Science")</f>
        <v>View Full Record in Web of Science</v>
      </c>
    </row>
    <row r="86" spans="1:72" x14ac:dyDescent="0.15">
      <c r="A86" t="s">
        <v>72</v>
      </c>
      <c r="B86" t="s">
        <v>1514</v>
      </c>
      <c r="C86" t="s">
        <v>74</v>
      </c>
      <c r="D86" t="s">
        <v>74</v>
      </c>
      <c r="E86" t="s">
        <v>74</v>
      </c>
      <c r="F86" t="s">
        <v>1515</v>
      </c>
      <c r="G86" t="s">
        <v>74</v>
      </c>
      <c r="H86" t="s">
        <v>74</v>
      </c>
      <c r="I86" t="s">
        <v>1516</v>
      </c>
      <c r="J86" t="s">
        <v>1266</v>
      </c>
      <c r="K86" t="s">
        <v>74</v>
      </c>
      <c r="L86" t="s">
        <v>74</v>
      </c>
      <c r="M86" t="s">
        <v>78</v>
      </c>
      <c r="N86" t="s">
        <v>366</v>
      </c>
      <c r="O86" t="s">
        <v>74</v>
      </c>
      <c r="P86" t="s">
        <v>74</v>
      </c>
      <c r="Q86" t="s">
        <v>74</v>
      </c>
      <c r="R86" t="s">
        <v>74</v>
      </c>
      <c r="S86" t="s">
        <v>74</v>
      </c>
      <c r="T86" t="s">
        <v>1517</v>
      </c>
      <c r="U86" t="s">
        <v>1518</v>
      </c>
      <c r="V86" t="s">
        <v>1519</v>
      </c>
      <c r="W86" t="s">
        <v>1520</v>
      </c>
      <c r="X86" t="s">
        <v>1521</v>
      </c>
      <c r="Y86" t="s">
        <v>1437</v>
      </c>
      <c r="Z86" t="s">
        <v>1522</v>
      </c>
      <c r="AA86" t="s">
        <v>1523</v>
      </c>
      <c r="AB86" t="s">
        <v>1524</v>
      </c>
      <c r="AC86" t="s">
        <v>74</v>
      </c>
      <c r="AD86" t="s">
        <v>74</v>
      </c>
      <c r="AE86" t="s">
        <v>74</v>
      </c>
      <c r="AF86" t="s">
        <v>74</v>
      </c>
      <c r="AG86">
        <v>112</v>
      </c>
      <c r="AH86">
        <v>86</v>
      </c>
      <c r="AI86">
        <v>92</v>
      </c>
      <c r="AJ86">
        <v>1</v>
      </c>
      <c r="AK86">
        <v>19</v>
      </c>
      <c r="AL86" t="s">
        <v>817</v>
      </c>
      <c r="AM86" t="s">
        <v>818</v>
      </c>
      <c r="AN86" t="s">
        <v>819</v>
      </c>
      <c r="AO86" t="s">
        <v>1279</v>
      </c>
      <c r="AP86" t="s">
        <v>1280</v>
      </c>
      <c r="AQ86" t="s">
        <v>74</v>
      </c>
      <c r="AR86" t="s">
        <v>1281</v>
      </c>
      <c r="AS86" t="s">
        <v>1282</v>
      </c>
      <c r="AT86" t="s">
        <v>74</v>
      </c>
      <c r="AU86">
        <v>2007</v>
      </c>
      <c r="AV86">
        <v>54</v>
      </c>
      <c r="AW86" t="s">
        <v>1442</v>
      </c>
      <c r="AX86" t="s">
        <v>74</v>
      </c>
      <c r="AY86" t="s">
        <v>74</v>
      </c>
      <c r="AZ86" t="s">
        <v>74</v>
      </c>
      <c r="BA86" t="s">
        <v>74</v>
      </c>
      <c r="BB86">
        <v>1760</v>
      </c>
      <c r="BC86">
        <v>1775</v>
      </c>
      <c r="BD86" t="s">
        <v>74</v>
      </c>
      <c r="BE86" t="s">
        <v>1525</v>
      </c>
      <c r="BF86" t="str">
        <f>HYPERLINK("http://dx.doi.org/10.1016/j.dsr2.2007.07.015","http://dx.doi.org/10.1016/j.dsr2.2007.07.015")</f>
        <v>http://dx.doi.org/10.1016/j.dsr2.2007.07.015</v>
      </c>
      <c r="BG86" t="s">
        <v>74</v>
      </c>
      <c r="BH86" t="s">
        <v>74</v>
      </c>
      <c r="BI86">
        <v>16</v>
      </c>
      <c r="BJ86" t="s">
        <v>1260</v>
      </c>
      <c r="BK86" t="s">
        <v>97</v>
      </c>
      <c r="BL86" t="s">
        <v>1260</v>
      </c>
      <c r="BM86" t="s">
        <v>1444</v>
      </c>
      <c r="BN86" t="s">
        <v>74</v>
      </c>
      <c r="BO86" t="s">
        <v>74</v>
      </c>
      <c r="BP86" t="s">
        <v>74</v>
      </c>
      <c r="BQ86" t="s">
        <v>74</v>
      </c>
      <c r="BR86" t="s">
        <v>100</v>
      </c>
      <c r="BS86" t="s">
        <v>1526</v>
      </c>
      <c r="BT86" t="str">
        <f>HYPERLINK("https%3A%2F%2Fwww.webofscience.com%2Fwos%2Fwoscc%2Ffull-record%2FWOS:000250974300009","View Full Record in Web of Science")</f>
        <v>View Full Record in Web of Science</v>
      </c>
    </row>
    <row r="87" spans="1:72" x14ac:dyDescent="0.15">
      <c r="A87" t="s">
        <v>72</v>
      </c>
      <c r="B87" t="s">
        <v>1527</v>
      </c>
      <c r="C87" t="s">
        <v>74</v>
      </c>
      <c r="D87" t="s">
        <v>74</v>
      </c>
      <c r="E87" t="s">
        <v>74</v>
      </c>
      <c r="F87" t="s">
        <v>1528</v>
      </c>
      <c r="G87" t="s">
        <v>74</v>
      </c>
      <c r="H87" t="s">
        <v>74</v>
      </c>
      <c r="I87" t="s">
        <v>1529</v>
      </c>
      <c r="J87" t="s">
        <v>1266</v>
      </c>
      <c r="K87" t="s">
        <v>74</v>
      </c>
      <c r="L87" t="s">
        <v>74</v>
      </c>
      <c r="M87" t="s">
        <v>78</v>
      </c>
      <c r="N87" t="s">
        <v>79</v>
      </c>
      <c r="O87" t="s">
        <v>74</v>
      </c>
      <c r="P87" t="s">
        <v>74</v>
      </c>
      <c r="Q87" t="s">
        <v>74</v>
      </c>
      <c r="R87" t="s">
        <v>74</v>
      </c>
      <c r="S87" t="s">
        <v>74</v>
      </c>
      <c r="T87" t="s">
        <v>1530</v>
      </c>
      <c r="U87" t="s">
        <v>1531</v>
      </c>
      <c r="V87" t="s">
        <v>1532</v>
      </c>
      <c r="W87" t="s">
        <v>1533</v>
      </c>
      <c r="X87" t="s">
        <v>1534</v>
      </c>
      <c r="Y87" t="s">
        <v>1535</v>
      </c>
      <c r="Z87" t="s">
        <v>1536</v>
      </c>
      <c r="AA87" t="s">
        <v>1511</v>
      </c>
      <c r="AB87" t="s">
        <v>1537</v>
      </c>
      <c r="AC87" t="s">
        <v>1538</v>
      </c>
      <c r="AD87" t="s">
        <v>1254</v>
      </c>
      <c r="AE87" t="s">
        <v>74</v>
      </c>
      <c r="AF87" t="s">
        <v>74</v>
      </c>
      <c r="AG87">
        <v>81</v>
      </c>
      <c r="AH87">
        <v>57</v>
      </c>
      <c r="AI87">
        <v>58</v>
      </c>
      <c r="AJ87">
        <v>0</v>
      </c>
      <c r="AK87">
        <v>19</v>
      </c>
      <c r="AL87" t="s">
        <v>817</v>
      </c>
      <c r="AM87" t="s">
        <v>818</v>
      </c>
      <c r="AN87" t="s">
        <v>819</v>
      </c>
      <c r="AO87" t="s">
        <v>1279</v>
      </c>
      <c r="AP87" t="s">
        <v>1280</v>
      </c>
      <c r="AQ87" t="s">
        <v>74</v>
      </c>
      <c r="AR87" t="s">
        <v>1281</v>
      </c>
      <c r="AS87" t="s">
        <v>1282</v>
      </c>
      <c r="AT87" t="s">
        <v>74</v>
      </c>
      <c r="AU87">
        <v>2007</v>
      </c>
      <c r="AV87">
        <v>54</v>
      </c>
      <c r="AW87" t="s">
        <v>1442</v>
      </c>
      <c r="AX87" t="s">
        <v>74</v>
      </c>
      <c r="AY87" t="s">
        <v>74</v>
      </c>
      <c r="AZ87" t="s">
        <v>74</v>
      </c>
      <c r="BA87" t="s">
        <v>74</v>
      </c>
      <c r="BB87">
        <v>1776</v>
      </c>
      <c r="BC87">
        <v>1789</v>
      </c>
      <c r="BD87" t="s">
        <v>74</v>
      </c>
      <c r="BE87" t="s">
        <v>1539</v>
      </c>
      <c r="BF87" t="str">
        <f>HYPERLINK("http://dx.doi.org/10.1016/j.dsr2.2007.07.006","http://dx.doi.org/10.1016/j.dsr2.2007.07.006")</f>
        <v>http://dx.doi.org/10.1016/j.dsr2.2007.07.006</v>
      </c>
      <c r="BG87" t="s">
        <v>74</v>
      </c>
      <c r="BH87" t="s">
        <v>74</v>
      </c>
      <c r="BI87">
        <v>14</v>
      </c>
      <c r="BJ87" t="s">
        <v>1260</v>
      </c>
      <c r="BK87" t="s">
        <v>97</v>
      </c>
      <c r="BL87" t="s">
        <v>1260</v>
      </c>
      <c r="BM87" t="s">
        <v>1444</v>
      </c>
      <c r="BN87" t="s">
        <v>74</v>
      </c>
      <c r="BO87" t="s">
        <v>74</v>
      </c>
      <c r="BP87" t="s">
        <v>74</v>
      </c>
      <c r="BQ87" t="s">
        <v>74</v>
      </c>
      <c r="BR87" t="s">
        <v>100</v>
      </c>
      <c r="BS87" t="s">
        <v>1540</v>
      </c>
      <c r="BT87" t="str">
        <f>HYPERLINK("https%3A%2F%2Fwww.webofscience.com%2Fwos%2Fwoscc%2Ffull-record%2FWOS:000250974300010","View Full Record in Web of Science")</f>
        <v>View Full Record in Web of Science</v>
      </c>
    </row>
    <row r="88" spans="1:72" x14ac:dyDescent="0.15">
      <c r="A88" t="s">
        <v>72</v>
      </c>
      <c r="B88" t="s">
        <v>1541</v>
      </c>
      <c r="C88" t="s">
        <v>74</v>
      </c>
      <c r="D88" t="s">
        <v>74</v>
      </c>
      <c r="E88" t="s">
        <v>74</v>
      </c>
      <c r="F88" t="s">
        <v>1542</v>
      </c>
      <c r="G88" t="s">
        <v>74</v>
      </c>
      <c r="H88" t="s">
        <v>74</v>
      </c>
      <c r="I88" t="s">
        <v>1543</v>
      </c>
      <c r="J88" t="s">
        <v>1266</v>
      </c>
      <c r="K88" t="s">
        <v>74</v>
      </c>
      <c r="L88" t="s">
        <v>74</v>
      </c>
      <c r="M88" t="s">
        <v>78</v>
      </c>
      <c r="N88" t="s">
        <v>79</v>
      </c>
      <c r="O88" t="s">
        <v>74</v>
      </c>
      <c r="P88" t="s">
        <v>74</v>
      </c>
      <c r="Q88" t="s">
        <v>74</v>
      </c>
      <c r="R88" t="s">
        <v>74</v>
      </c>
      <c r="S88" t="s">
        <v>74</v>
      </c>
      <c r="T88" t="s">
        <v>1544</v>
      </c>
      <c r="U88" t="s">
        <v>1545</v>
      </c>
      <c r="V88" t="s">
        <v>1546</v>
      </c>
      <c r="W88" t="s">
        <v>1547</v>
      </c>
      <c r="X88" t="s">
        <v>1521</v>
      </c>
      <c r="Y88" t="s">
        <v>1548</v>
      </c>
      <c r="Z88" t="s">
        <v>1549</v>
      </c>
      <c r="AA88" t="s">
        <v>1523</v>
      </c>
      <c r="AB88" t="s">
        <v>1550</v>
      </c>
      <c r="AC88" t="s">
        <v>74</v>
      </c>
      <c r="AD88" t="s">
        <v>74</v>
      </c>
      <c r="AE88" t="s">
        <v>74</v>
      </c>
      <c r="AF88" t="s">
        <v>74</v>
      </c>
      <c r="AG88">
        <v>47</v>
      </c>
      <c r="AH88">
        <v>30</v>
      </c>
      <c r="AI88">
        <v>33</v>
      </c>
      <c r="AJ88">
        <v>0</v>
      </c>
      <c r="AK88">
        <v>9</v>
      </c>
      <c r="AL88" t="s">
        <v>817</v>
      </c>
      <c r="AM88" t="s">
        <v>818</v>
      </c>
      <c r="AN88" t="s">
        <v>819</v>
      </c>
      <c r="AO88" t="s">
        <v>1279</v>
      </c>
      <c r="AP88" t="s">
        <v>1280</v>
      </c>
      <c r="AQ88" t="s">
        <v>74</v>
      </c>
      <c r="AR88" t="s">
        <v>1281</v>
      </c>
      <c r="AS88" t="s">
        <v>1282</v>
      </c>
      <c r="AT88" t="s">
        <v>74</v>
      </c>
      <c r="AU88">
        <v>2007</v>
      </c>
      <c r="AV88">
        <v>54</v>
      </c>
      <c r="AW88" t="s">
        <v>1442</v>
      </c>
      <c r="AX88" t="s">
        <v>74</v>
      </c>
      <c r="AY88" t="s">
        <v>74</v>
      </c>
      <c r="AZ88" t="s">
        <v>74</v>
      </c>
      <c r="BA88" t="s">
        <v>74</v>
      </c>
      <c r="BB88">
        <v>1790</v>
      </c>
      <c r="BC88">
        <v>1805</v>
      </c>
      <c r="BD88" t="s">
        <v>74</v>
      </c>
      <c r="BE88" t="s">
        <v>1551</v>
      </c>
      <c r="BF88" t="str">
        <f>HYPERLINK("http://dx.doi.org/10.1016/j.dsr2.2007.07.017","http://dx.doi.org/10.1016/j.dsr2.2007.07.017")</f>
        <v>http://dx.doi.org/10.1016/j.dsr2.2007.07.017</v>
      </c>
      <c r="BG88" t="s">
        <v>74</v>
      </c>
      <c r="BH88" t="s">
        <v>74</v>
      </c>
      <c r="BI88">
        <v>16</v>
      </c>
      <c r="BJ88" t="s">
        <v>1260</v>
      </c>
      <c r="BK88" t="s">
        <v>97</v>
      </c>
      <c r="BL88" t="s">
        <v>1260</v>
      </c>
      <c r="BM88" t="s">
        <v>1444</v>
      </c>
      <c r="BN88" t="s">
        <v>74</v>
      </c>
      <c r="BO88" t="s">
        <v>74</v>
      </c>
      <c r="BP88" t="s">
        <v>74</v>
      </c>
      <c r="BQ88" t="s">
        <v>74</v>
      </c>
      <c r="BR88" t="s">
        <v>100</v>
      </c>
      <c r="BS88" t="s">
        <v>1552</v>
      </c>
      <c r="BT88" t="str">
        <f>HYPERLINK("https%3A%2F%2Fwww.webofscience.com%2Fwos%2Fwoscc%2Ffull-record%2FWOS:000250974300011","View Full Record in Web of Science")</f>
        <v>View Full Record in Web of Science</v>
      </c>
    </row>
    <row r="89" spans="1:72" x14ac:dyDescent="0.15">
      <c r="A89" t="s">
        <v>72</v>
      </c>
      <c r="B89" t="s">
        <v>1553</v>
      </c>
      <c r="C89" t="s">
        <v>74</v>
      </c>
      <c r="D89" t="s">
        <v>74</v>
      </c>
      <c r="E89" t="s">
        <v>74</v>
      </c>
      <c r="F89" t="s">
        <v>1554</v>
      </c>
      <c r="G89" t="s">
        <v>74</v>
      </c>
      <c r="H89" t="s">
        <v>74</v>
      </c>
      <c r="I89" t="s">
        <v>1555</v>
      </c>
      <c r="J89" t="s">
        <v>1266</v>
      </c>
      <c r="K89" t="s">
        <v>74</v>
      </c>
      <c r="L89" t="s">
        <v>74</v>
      </c>
      <c r="M89" t="s">
        <v>78</v>
      </c>
      <c r="N89" t="s">
        <v>79</v>
      </c>
      <c r="O89" t="s">
        <v>74</v>
      </c>
      <c r="P89" t="s">
        <v>74</v>
      </c>
      <c r="Q89" t="s">
        <v>74</v>
      </c>
      <c r="R89" t="s">
        <v>74</v>
      </c>
      <c r="S89" t="s">
        <v>74</v>
      </c>
      <c r="T89" t="s">
        <v>1556</v>
      </c>
      <c r="U89" t="s">
        <v>1557</v>
      </c>
      <c r="V89" t="s">
        <v>1558</v>
      </c>
      <c r="W89" t="s">
        <v>1559</v>
      </c>
      <c r="X89" t="s">
        <v>514</v>
      </c>
      <c r="Y89" t="s">
        <v>1560</v>
      </c>
      <c r="Z89" t="s">
        <v>1561</v>
      </c>
      <c r="AA89" t="s">
        <v>74</v>
      </c>
      <c r="AB89" t="s">
        <v>1562</v>
      </c>
      <c r="AC89" t="s">
        <v>1538</v>
      </c>
      <c r="AD89" t="s">
        <v>1254</v>
      </c>
      <c r="AE89" t="s">
        <v>74</v>
      </c>
      <c r="AF89" t="s">
        <v>74</v>
      </c>
      <c r="AG89">
        <v>58</v>
      </c>
      <c r="AH89">
        <v>29</v>
      </c>
      <c r="AI89">
        <v>31</v>
      </c>
      <c r="AJ89">
        <v>1</v>
      </c>
      <c r="AK89">
        <v>22</v>
      </c>
      <c r="AL89" t="s">
        <v>817</v>
      </c>
      <c r="AM89" t="s">
        <v>818</v>
      </c>
      <c r="AN89" t="s">
        <v>819</v>
      </c>
      <c r="AO89" t="s">
        <v>1279</v>
      </c>
      <c r="AP89" t="s">
        <v>1280</v>
      </c>
      <c r="AQ89" t="s">
        <v>74</v>
      </c>
      <c r="AR89" t="s">
        <v>1281</v>
      </c>
      <c r="AS89" t="s">
        <v>1282</v>
      </c>
      <c r="AT89" t="s">
        <v>74</v>
      </c>
      <c r="AU89">
        <v>2007</v>
      </c>
      <c r="AV89">
        <v>54</v>
      </c>
      <c r="AW89" t="s">
        <v>1442</v>
      </c>
      <c r="AX89" t="s">
        <v>74</v>
      </c>
      <c r="AY89" t="s">
        <v>74</v>
      </c>
      <c r="AZ89" t="s">
        <v>74</v>
      </c>
      <c r="BA89" t="s">
        <v>74</v>
      </c>
      <c r="BB89">
        <v>1831</v>
      </c>
      <c r="BC89">
        <v>1847</v>
      </c>
      <c r="BD89" t="s">
        <v>74</v>
      </c>
      <c r="BE89" t="s">
        <v>1563</v>
      </c>
      <c r="BF89" t="str">
        <f>HYPERLINK("http://dx.doi.org/10.1016/j.dsr2.2007.07.010","http://dx.doi.org/10.1016/j.dsr2.2007.07.010")</f>
        <v>http://dx.doi.org/10.1016/j.dsr2.2007.07.010</v>
      </c>
      <c r="BG89" t="s">
        <v>74</v>
      </c>
      <c r="BH89" t="s">
        <v>74</v>
      </c>
      <c r="BI89">
        <v>17</v>
      </c>
      <c r="BJ89" t="s">
        <v>1260</v>
      </c>
      <c r="BK89" t="s">
        <v>97</v>
      </c>
      <c r="BL89" t="s">
        <v>1260</v>
      </c>
      <c r="BM89" t="s">
        <v>1444</v>
      </c>
      <c r="BN89" t="s">
        <v>74</v>
      </c>
      <c r="BO89" t="s">
        <v>74</v>
      </c>
      <c r="BP89" t="s">
        <v>74</v>
      </c>
      <c r="BQ89" t="s">
        <v>74</v>
      </c>
      <c r="BR89" t="s">
        <v>100</v>
      </c>
      <c r="BS89" t="s">
        <v>1564</v>
      </c>
      <c r="BT89" t="str">
        <f>HYPERLINK("https%3A%2F%2Fwww.webofscience.com%2Fwos%2Fwoscc%2Ffull-record%2FWOS:000250974300014","View Full Record in Web of Science")</f>
        <v>View Full Record in Web of Science</v>
      </c>
    </row>
    <row r="90" spans="1:72" x14ac:dyDescent="0.15">
      <c r="A90" t="s">
        <v>72</v>
      </c>
      <c r="B90" t="s">
        <v>1565</v>
      </c>
      <c r="C90" t="s">
        <v>74</v>
      </c>
      <c r="D90" t="s">
        <v>74</v>
      </c>
      <c r="E90" t="s">
        <v>74</v>
      </c>
      <c r="F90" t="s">
        <v>1566</v>
      </c>
      <c r="G90" t="s">
        <v>74</v>
      </c>
      <c r="H90" t="s">
        <v>74</v>
      </c>
      <c r="I90" t="s">
        <v>1567</v>
      </c>
      <c r="J90" t="s">
        <v>1266</v>
      </c>
      <c r="K90" t="s">
        <v>74</v>
      </c>
      <c r="L90" t="s">
        <v>74</v>
      </c>
      <c r="M90" t="s">
        <v>78</v>
      </c>
      <c r="N90" t="s">
        <v>79</v>
      </c>
      <c r="O90" t="s">
        <v>74</v>
      </c>
      <c r="P90" t="s">
        <v>74</v>
      </c>
      <c r="Q90" t="s">
        <v>74</v>
      </c>
      <c r="R90" t="s">
        <v>74</v>
      </c>
      <c r="S90" t="s">
        <v>74</v>
      </c>
      <c r="T90" t="s">
        <v>1568</v>
      </c>
      <c r="U90" t="s">
        <v>1569</v>
      </c>
      <c r="V90" t="s">
        <v>1570</v>
      </c>
      <c r="W90" t="s">
        <v>1571</v>
      </c>
      <c r="X90" t="s">
        <v>1572</v>
      </c>
      <c r="Y90" t="s">
        <v>1573</v>
      </c>
      <c r="Z90" t="s">
        <v>1574</v>
      </c>
      <c r="AA90" t="s">
        <v>1575</v>
      </c>
      <c r="AB90" t="s">
        <v>1576</v>
      </c>
      <c r="AC90" t="s">
        <v>1538</v>
      </c>
      <c r="AD90" t="s">
        <v>1254</v>
      </c>
      <c r="AE90" t="s">
        <v>74</v>
      </c>
      <c r="AF90" t="s">
        <v>74</v>
      </c>
      <c r="AG90">
        <v>91</v>
      </c>
      <c r="AH90">
        <v>31</v>
      </c>
      <c r="AI90">
        <v>32</v>
      </c>
      <c r="AJ90">
        <v>0</v>
      </c>
      <c r="AK90">
        <v>31</v>
      </c>
      <c r="AL90" t="s">
        <v>817</v>
      </c>
      <c r="AM90" t="s">
        <v>818</v>
      </c>
      <c r="AN90" t="s">
        <v>819</v>
      </c>
      <c r="AO90" t="s">
        <v>1279</v>
      </c>
      <c r="AP90" t="s">
        <v>1280</v>
      </c>
      <c r="AQ90" t="s">
        <v>74</v>
      </c>
      <c r="AR90" t="s">
        <v>1281</v>
      </c>
      <c r="AS90" t="s">
        <v>1282</v>
      </c>
      <c r="AT90" t="s">
        <v>74</v>
      </c>
      <c r="AU90">
        <v>2007</v>
      </c>
      <c r="AV90">
        <v>54</v>
      </c>
      <c r="AW90" t="s">
        <v>1442</v>
      </c>
      <c r="AX90" t="s">
        <v>74</v>
      </c>
      <c r="AY90" t="s">
        <v>74</v>
      </c>
      <c r="AZ90" t="s">
        <v>74</v>
      </c>
      <c r="BA90" t="s">
        <v>74</v>
      </c>
      <c r="BB90">
        <v>1848</v>
      </c>
      <c r="BC90">
        <v>1863</v>
      </c>
      <c r="BD90" t="s">
        <v>74</v>
      </c>
      <c r="BE90" t="s">
        <v>1577</v>
      </c>
      <c r="BF90" t="str">
        <f>HYPERLINK("http://dx.doi.org/10.1016/j.dsr2.2007.07.011","http://dx.doi.org/10.1016/j.dsr2.2007.07.011")</f>
        <v>http://dx.doi.org/10.1016/j.dsr2.2007.07.011</v>
      </c>
      <c r="BG90" t="s">
        <v>74</v>
      </c>
      <c r="BH90" t="s">
        <v>74</v>
      </c>
      <c r="BI90">
        <v>16</v>
      </c>
      <c r="BJ90" t="s">
        <v>1260</v>
      </c>
      <c r="BK90" t="s">
        <v>97</v>
      </c>
      <c r="BL90" t="s">
        <v>1260</v>
      </c>
      <c r="BM90" t="s">
        <v>1444</v>
      </c>
      <c r="BN90" t="s">
        <v>74</v>
      </c>
      <c r="BO90" t="s">
        <v>74</v>
      </c>
      <c r="BP90" t="s">
        <v>74</v>
      </c>
      <c r="BQ90" t="s">
        <v>74</v>
      </c>
      <c r="BR90" t="s">
        <v>100</v>
      </c>
      <c r="BS90" t="s">
        <v>1578</v>
      </c>
      <c r="BT90" t="str">
        <f>HYPERLINK("https%3A%2F%2Fwww.webofscience.com%2Fwos%2Fwoscc%2Ffull-record%2FWOS:000250974300015","View Full Record in Web of Science")</f>
        <v>View Full Record in Web of Science</v>
      </c>
    </row>
    <row r="91" spans="1:72" x14ac:dyDescent="0.15">
      <c r="A91" t="s">
        <v>72</v>
      </c>
      <c r="B91" t="s">
        <v>1579</v>
      </c>
      <c r="C91" t="s">
        <v>74</v>
      </c>
      <c r="D91" t="s">
        <v>74</v>
      </c>
      <c r="E91" t="s">
        <v>74</v>
      </c>
      <c r="F91" t="s">
        <v>1580</v>
      </c>
      <c r="G91" t="s">
        <v>74</v>
      </c>
      <c r="H91" t="s">
        <v>74</v>
      </c>
      <c r="I91" t="s">
        <v>1581</v>
      </c>
      <c r="J91" t="s">
        <v>1266</v>
      </c>
      <c r="K91" t="s">
        <v>74</v>
      </c>
      <c r="L91" t="s">
        <v>74</v>
      </c>
      <c r="M91" t="s">
        <v>78</v>
      </c>
      <c r="N91" t="s">
        <v>79</v>
      </c>
      <c r="O91" t="s">
        <v>74</v>
      </c>
      <c r="P91" t="s">
        <v>74</v>
      </c>
      <c r="Q91" t="s">
        <v>74</v>
      </c>
      <c r="R91" t="s">
        <v>74</v>
      </c>
      <c r="S91" t="s">
        <v>74</v>
      </c>
      <c r="T91" t="s">
        <v>1582</v>
      </c>
      <c r="U91" t="s">
        <v>1583</v>
      </c>
      <c r="V91" t="s">
        <v>1584</v>
      </c>
      <c r="W91" t="s">
        <v>1585</v>
      </c>
      <c r="X91" t="s">
        <v>1586</v>
      </c>
      <c r="Y91" t="s">
        <v>1587</v>
      </c>
      <c r="Z91" t="s">
        <v>1588</v>
      </c>
      <c r="AA91" t="s">
        <v>74</v>
      </c>
      <c r="AB91" t="s">
        <v>74</v>
      </c>
      <c r="AC91" t="s">
        <v>74</v>
      </c>
      <c r="AD91" t="s">
        <v>74</v>
      </c>
      <c r="AE91" t="s">
        <v>74</v>
      </c>
      <c r="AF91" t="s">
        <v>74</v>
      </c>
      <c r="AG91">
        <v>53</v>
      </c>
      <c r="AH91">
        <v>42</v>
      </c>
      <c r="AI91">
        <v>45</v>
      </c>
      <c r="AJ91">
        <v>0</v>
      </c>
      <c r="AK91">
        <v>21</v>
      </c>
      <c r="AL91" t="s">
        <v>817</v>
      </c>
      <c r="AM91" t="s">
        <v>818</v>
      </c>
      <c r="AN91" t="s">
        <v>819</v>
      </c>
      <c r="AO91" t="s">
        <v>1279</v>
      </c>
      <c r="AP91" t="s">
        <v>1280</v>
      </c>
      <c r="AQ91" t="s">
        <v>74</v>
      </c>
      <c r="AR91" t="s">
        <v>1281</v>
      </c>
      <c r="AS91" t="s">
        <v>1282</v>
      </c>
      <c r="AT91" t="s">
        <v>74</v>
      </c>
      <c r="AU91">
        <v>2007</v>
      </c>
      <c r="AV91">
        <v>54</v>
      </c>
      <c r="AW91" t="s">
        <v>1442</v>
      </c>
      <c r="AX91" t="s">
        <v>74</v>
      </c>
      <c r="AY91" t="s">
        <v>74</v>
      </c>
      <c r="AZ91" t="s">
        <v>74</v>
      </c>
      <c r="BA91" t="s">
        <v>74</v>
      </c>
      <c r="BB91">
        <v>1864</v>
      </c>
      <c r="BC91">
        <v>1875</v>
      </c>
      <c r="BD91" t="s">
        <v>74</v>
      </c>
      <c r="BE91" t="s">
        <v>1589</v>
      </c>
      <c r="BF91" t="str">
        <f>HYPERLINK("http://dx.doi.org/10.1016/j.dsr2.2007.07.012","http://dx.doi.org/10.1016/j.dsr2.2007.07.012")</f>
        <v>http://dx.doi.org/10.1016/j.dsr2.2007.07.012</v>
      </c>
      <c r="BG91" t="s">
        <v>74</v>
      </c>
      <c r="BH91" t="s">
        <v>74</v>
      </c>
      <c r="BI91">
        <v>12</v>
      </c>
      <c r="BJ91" t="s">
        <v>1260</v>
      </c>
      <c r="BK91" t="s">
        <v>97</v>
      </c>
      <c r="BL91" t="s">
        <v>1260</v>
      </c>
      <c r="BM91" t="s">
        <v>1444</v>
      </c>
      <c r="BN91" t="s">
        <v>74</v>
      </c>
      <c r="BO91" t="s">
        <v>74</v>
      </c>
      <c r="BP91" t="s">
        <v>74</v>
      </c>
      <c r="BQ91" t="s">
        <v>74</v>
      </c>
      <c r="BR91" t="s">
        <v>100</v>
      </c>
      <c r="BS91" t="s">
        <v>1590</v>
      </c>
      <c r="BT91" t="str">
        <f>HYPERLINK("https%3A%2F%2Fwww.webofscience.com%2Fwos%2Fwoscc%2Ffull-record%2FWOS:000250974300016","View Full Record in Web of Science")</f>
        <v>View Full Record in Web of Science</v>
      </c>
    </row>
    <row r="92" spans="1:72" x14ac:dyDescent="0.15">
      <c r="A92" t="s">
        <v>72</v>
      </c>
      <c r="B92" t="s">
        <v>1591</v>
      </c>
      <c r="C92" t="s">
        <v>74</v>
      </c>
      <c r="D92" t="s">
        <v>74</v>
      </c>
      <c r="E92" t="s">
        <v>74</v>
      </c>
      <c r="F92" t="s">
        <v>1592</v>
      </c>
      <c r="G92" t="s">
        <v>74</v>
      </c>
      <c r="H92" t="s">
        <v>74</v>
      </c>
      <c r="I92" t="s">
        <v>1593</v>
      </c>
      <c r="J92" t="s">
        <v>1266</v>
      </c>
      <c r="K92" t="s">
        <v>74</v>
      </c>
      <c r="L92" t="s">
        <v>74</v>
      </c>
      <c r="M92" t="s">
        <v>78</v>
      </c>
      <c r="N92" t="s">
        <v>366</v>
      </c>
      <c r="O92" t="s">
        <v>74</v>
      </c>
      <c r="P92" t="s">
        <v>74</v>
      </c>
      <c r="Q92" t="s">
        <v>74</v>
      </c>
      <c r="R92" t="s">
        <v>74</v>
      </c>
      <c r="S92" t="s">
        <v>74</v>
      </c>
      <c r="T92" t="s">
        <v>1594</v>
      </c>
      <c r="U92" t="s">
        <v>1595</v>
      </c>
      <c r="V92" t="s">
        <v>1596</v>
      </c>
      <c r="W92" t="s">
        <v>1597</v>
      </c>
      <c r="X92" t="s">
        <v>1598</v>
      </c>
      <c r="Y92" t="s">
        <v>1599</v>
      </c>
      <c r="Z92" t="s">
        <v>1600</v>
      </c>
      <c r="AA92" t="s">
        <v>1601</v>
      </c>
      <c r="AB92" t="s">
        <v>1602</v>
      </c>
      <c r="AC92" t="s">
        <v>74</v>
      </c>
      <c r="AD92" t="s">
        <v>74</v>
      </c>
      <c r="AE92" t="s">
        <v>74</v>
      </c>
      <c r="AF92" t="s">
        <v>74</v>
      </c>
      <c r="AG92">
        <v>133</v>
      </c>
      <c r="AH92">
        <v>31</v>
      </c>
      <c r="AI92">
        <v>35</v>
      </c>
      <c r="AJ92">
        <v>2</v>
      </c>
      <c r="AK92">
        <v>11</v>
      </c>
      <c r="AL92" t="s">
        <v>817</v>
      </c>
      <c r="AM92" t="s">
        <v>818</v>
      </c>
      <c r="AN92" t="s">
        <v>819</v>
      </c>
      <c r="AO92" t="s">
        <v>1279</v>
      </c>
      <c r="AP92" t="s">
        <v>1280</v>
      </c>
      <c r="AQ92" t="s">
        <v>74</v>
      </c>
      <c r="AR92" t="s">
        <v>1281</v>
      </c>
      <c r="AS92" t="s">
        <v>1282</v>
      </c>
      <c r="AT92" t="s">
        <v>74</v>
      </c>
      <c r="AU92">
        <v>2007</v>
      </c>
      <c r="AV92">
        <v>54</v>
      </c>
      <c r="AW92" t="s">
        <v>1442</v>
      </c>
      <c r="AX92" t="s">
        <v>74</v>
      </c>
      <c r="AY92" t="s">
        <v>74</v>
      </c>
      <c r="AZ92" t="s">
        <v>74</v>
      </c>
      <c r="BA92" t="s">
        <v>74</v>
      </c>
      <c r="BB92">
        <v>1876</v>
      </c>
      <c r="BC92">
        <v>1904</v>
      </c>
      <c r="BD92" t="s">
        <v>74</v>
      </c>
      <c r="BE92" t="s">
        <v>1603</v>
      </c>
      <c r="BF92" t="str">
        <f>HYPERLINK("http://dx.doi.org/10.1016/j.dsr2.2007.07.013","http://dx.doi.org/10.1016/j.dsr2.2007.07.013")</f>
        <v>http://dx.doi.org/10.1016/j.dsr2.2007.07.013</v>
      </c>
      <c r="BG92" t="s">
        <v>74</v>
      </c>
      <c r="BH92" t="s">
        <v>74</v>
      </c>
      <c r="BI92">
        <v>29</v>
      </c>
      <c r="BJ92" t="s">
        <v>1260</v>
      </c>
      <c r="BK92" t="s">
        <v>97</v>
      </c>
      <c r="BL92" t="s">
        <v>1260</v>
      </c>
      <c r="BM92" t="s">
        <v>1444</v>
      </c>
      <c r="BN92" t="s">
        <v>74</v>
      </c>
      <c r="BO92" t="s">
        <v>74</v>
      </c>
      <c r="BP92" t="s">
        <v>74</v>
      </c>
      <c r="BQ92" t="s">
        <v>74</v>
      </c>
      <c r="BR92" t="s">
        <v>100</v>
      </c>
      <c r="BS92" t="s">
        <v>1604</v>
      </c>
      <c r="BT92" t="str">
        <f>HYPERLINK("https%3A%2F%2Fwww.webofscience.com%2Fwos%2Fwoscc%2Ffull-record%2FWOS:000250974300017","View Full Record in Web of Science")</f>
        <v>View Full Record in Web of Science</v>
      </c>
    </row>
    <row r="93" spans="1:72" x14ac:dyDescent="0.15">
      <c r="A93" t="s">
        <v>72</v>
      </c>
      <c r="B93" t="s">
        <v>1605</v>
      </c>
      <c r="C93" t="s">
        <v>74</v>
      </c>
      <c r="D93" t="s">
        <v>74</v>
      </c>
      <c r="E93" t="s">
        <v>74</v>
      </c>
      <c r="F93" t="s">
        <v>1606</v>
      </c>
      <c r="G93" t="s">
        <v>74</v>
      </c>
      <c r="H93" t="s">
        <v>74</v>
      </c>
      <c r="I93" t="s">
        <v>1607</v>
      </c>
      <c r="J93" t="s">
        <v>1266</v>
      </c>
      <c r="K93" t="s">
        <v>74</v>
      </c>
      <c r="L93" t="s">
        <v>74</v>
      </c>
      <c r="M93" t="s">
        <v>78</v>
      </c>
      <c r="N93" t="s">
        <v>79</v>
      </c>
      <c r="O93" t="s">
        <v>74</v>
      </c>
      <c r="P93" t="s">
        <v>74</v>
      </c>
      <c r="Q93" t="s">
        <v>74</v>
      </c>
      <c r="R93" t="s">
        <v>74</v>
      </c>
      <c r="S93" t="s">
        <v>74</v>
      </c>
      <c r="T93" t="s">
        <v>1608</v>
      </c>
      <c r="U93" t="s">
        <v>1609</v>
      </c>
      <c r="V93" t="s">
        <v>1610</v>
      </c>
      <c r="W93" t="s">
        <v>1611</v>
      </c>
      <c r="X93" t="s">
        <v>1436</v>
      </c>
      <c r="Y93" t="s">
        <v>1612</v>
      </c>
      <c r="Z93" t="s">
        <v>1613</v>
      </c>
      <c r="AA93" t="s">
        <v>1614</v>
      </c>
      <c r="AB93" t="s">
        <v>1615</v>
      </c>
      <c r="AC93" t="s">
        <v>1616</v>
      </c>
      <c r="AD93" t="s">
        <v>1254</v>
      </c>
      <c r="AE93" t="s">
        <v>74</v>
      </c>
      <c r="AF93" t="s">
        <v>74</v>
      </c>
      <c r="AG93">
        <v>22</v>
      </c>
      <c r="AH93">
        <v>55</v>
      </c>
      <c r="AI93">
        <v>58</v>
      </c>
      <c r="AJ93">
        <v>0</v>
      </c>
      <c r="AK93">
        <v>13</v>
      </c>
      <c r="AL93" t="s">
        <v>817</v>
      </c>
      <c r="AM93" t="s">
        <v>818</v>
      </c>
      <c r="AN93" t="s">
        <v>819</v>
      </c>
      <c r="AO93" t="s">
        <v>1279</v>
      </c>
      <c r="AP93" t="s">
        <v>1280</v>
      </c>
      <c r="AQ93" t="s">
        <v>74</v>
      </c>
      <c r="AR93" t="s">
        <v>1281</v>
      </c>
      <c r="AS93" t="s">
        <v>1282</v>
      </c>
      <c r="AT93" t="s">
        <v>74</v>
      </c>
      <c r="AU93">
        <v>2007</v>
      </c>
      <c r="AV93">
        <v>54</v>
      </c>
      <c r="AW93" t="s">
        <v>1617</v>
      </c>
      <c r="AX93" t="s">
        <v>74</v>
      </c>
      <c r="AY93" t="s">
        <v>74</v>
      </c>
      <c r="AZ93" t="s">
        <v>74</v>
      </c>
      <c r="BA93" t="s">
        <v>74</v>
      </c>
      <c r="BB93">
        <v>1915</v>
      </c>
      <c r="BC93">
        <v>1929</v>
      </c>
      <c r="BD93" t="s">
        <v>74</v>
      </c>
      <c r="BE93" t="s">
        <v>1618</v>
      </c>
      <c r="BF93" t="str">
        <f>HYPERLINK("http://dx.doi.org/10.1016/j.dsr2.2007.06.012","http://dx.doi.org/10.1016/j.dsr2.2007.06.012")</f>
        <v>http://dx.doi.org/10.1016/j.dsr2.2007.06.012</v>
      </c>
      <c r="BG93" t="s">
        <v>74</v>
      </c>
      <c r="BH93" t="s">
        <v>74</v>
      </c>
      <c r="BI93">
        <v>15</v>
      </c>
      <c r="BJ93" t="s">
        <v>1260</v>
      </c>
      <c r="BK93" t="s">
        <v>97</v>
      </c>
      <c r="BL93" t="s">
        <v>1260</v>
      </c>
      <c r="BM93" t="s">
        <v>1619</v>
      </c>
      <c r="BN93" t="s">
        <v>74</v>
      </c>
      <c r="BO93" t="s">
        <v>74</v>
      </c>
      <c r="BP93" t="s">
        <v>74</v>
      </c>
      <c r="BQ93" t="s">
        <v>74</v>
      </c>
      <c r="BR93" t="s">
        <v>100</v>
      </c>
      <c r="BS93" t="s">
        <v>1620</v>
      </c>
      <c r="BT93" t="str">
        <f>HYPERLINK("https%3A%2F%2Fwww.webofscience.com%2Fwos%2Fwoscc%2Ffull-record%2FWOS:000251492300002","View Full Record in Web of Science")</f>
        <v>View Full Record in Web of Science</v>
      </c>
    </row>
    <row r="94" spans="1:72" x14ac:dyDescent="0.15">
      <c r="A94" t="s">
        <v>72</v>
      </c>
      <c r="B94" t="s">
        <v>1621</v>
      </c>
      <c r="C94" t="s">
        <v>74</v>
      </c>
      <c r="D94" t="s">
        <v>74</v>
      </c>
      <c r="E94" t="s">
        <v>74</v>
      </c>
      <c r="F94" t="s">
        <v>1622</v>
      </c>
      <c r="G94" t="s">
        <v>74</v>
      </c>
      <c r="H94" t="s">
        <v>74</v>
      </c>
      <c r="I94" t="s">
        <v>1623</v>
      </c>
      <c r="J94" t="s">
        <v>1266</v>
      </c>
      <c r="K94" t="s">
        <v>74</v>
      </c>
      <c r="L94" t="s">
        <v>74</v>
      </c>
      <c r="M94" t="s">
        <v>78</v>
      </c>
      <c r="N94" t="s">
        <v>79</v>
      </c>
      <c r="O94" t="s">
        <v>74</v>
      </c>
      <c r="P94" t="s">
        <v>74</v>
      </c>
      <c r="Q94" t="s">
        <v>74</v>
      </c>
      <c r="R94" t="s">
        <v>74</v>
      </c>
      <c r="S94" t="s">
        <v>74</v>
      </c>
      <c r="T94" t="s">
        <v>1624</v>
      </c>
      <c r="U94" t="s">
        <v>1625</v>
      </c>
      <c r="V94" t="s">
        <v>1626</v>
      </c>
      <c r="W94" t="s">
        <v>1611</v>
      </c>
      <c r="X94" t="s">
        <v>1436</v>
      </c>
      <c r="Y94" t="s">
        <v>1627</v>
      </c>
      <c r="Z94" t="s">
        <v>1628</v>
      </c>
      <c r="AA94" t="s">
        <v>1629</v>
      </c>
      <c r="AB94" t="s">
        <v>1630</v>
      </c>
      <c r="AC94" t="s">
        <v>1631</v>
      </c>
      <c r="AD94" t="s">
        <v>1254</v>
      </c>
      <c r="AE94" t="s">
        <v>74</v>
      </c>
      <c r="AF94" t="s">
        <v>74</v>
      </c>
      <c r="AG94">
        <v>54</v>
      </c>
      <c r="AH94">
        <v>59</v>
      </c>
      <c r="AI94">
        <v>62</v>
      </c>
      <c r="AJ94">
        <v>0</v>
      </c>
      <c r="AK94">
        <v>16</v>
      </c>
      <c r="AL94" t="s">
        <v>817</v>
      </c>
      <c r="AM94" t="s">
        <v>818</v>
      </c>
      <c r="AN94" t="s">
        <v>819</v>
      </c>
      <c r="AO94" t="s">
        <v>1279</v>
      </c>
      <c r="AP94" t="s">
        <v>1280</v>
      </c>
      <c r="AQ94" t="s">
        <v>74</v>
      </c>
      <c r="AR94" t="s">
        <v>1281</v>
      </c>
      <c r="AS94" t="s">
        <v>1282</v>
      </c>
      <c r="AT94" t="s">
        <v>74</v>
      </c>
      <c r="AU94">
        <v>2007</v>
      </c>
      <c r="AV94">
        <v>54</v>
      </c>
      <c r="AW94" t="s">
        <v>1617</v>
      </c>
      <c r="AX94" t="s">
        <v>74</v>
      </c>
      <c r="AY94" t="s">
        <v>74</v>
      </c>
      <c r="AZ94" t="s">
        <v>74</v>
      </c>
      <c r="BA94" t="s">
        <v>74</v>
      </c>
      <c r="BB94">
        <v>1949</v>
      </c>
      <c r="BC94">
        <v>1965</v>
      </c>
      <c r="BD94" t="s">
        <v>74</v>
      </c>
      <c r="BE94" t="s">
        <v>1632</v>
      </c>
      <c r="BF94" t="str">
        <f>HYPERLINK("http://dx.doi.org/10.1016/j.dsr2.2007.06.014","http://dx.doi.org/10.1016/j.dsr2.2007.06.014")</f>
        <v>http://dx.doi.org/10.1016/j.dsr2.2007.06.014</v>
      </c>
      <c r="BG94" t="s">
        <v>74</v>
      </c>
      <c r="BH94" t="s">
        <v>74</v>
      </c>
      <c r="BI94">
        <v>17</v>
      </c>
      <c r="BJ94" t="s">
        <v>1260</v>
      </c>
      <c r="BK94" t="s">
        <v>97</v>
      </c>
      <c r="BL94" t="s">
        <v>1260</v>
      </c>
      <c r="BM94" t="s">
        <v>1619</v>
      </c>
      <c r="BN94" t="s">
        <v>74</v>
      </c>
      <c r="BO94" t="s">
        <v>74</v>
      </c>
      <c r="BP94" t="s">
        <v>74</v>
      </c>
      <c r="BQ94" t="s">
        <v>74</v>
      </c>
      <c r="BR94" t="s">
        <v>100</v>
      </c>
      <c r="BS94" t="s">
        <v>1633</v>
      </c>
      <c r="BT94" t="str">
        <f>HYPERLINK("https%3A%2F%2Fwww.webofscience.com%2Fwos%2Fwoscc%2Ffull-record%2FWOS:000251492300004","View Full Record in Web of Science")</f>
        <v>View Full Record in Web of Science</v>
      </c>
    </row>
    <row r="95" spans="1:72" x14ac:dyDescent="0.15">
      <c r="A95" t="s">
        <v>72</v>
      </c>
      <c r="B95" t="s">
        <v>1634</v>
      </c>
      <c r="C95" t="s">
        <v>74</v>
      </c>
      <c r="D95" t="s">
        <v>74</v>
      </c>
      <c r="E95" t="s">
        <v>74</v>
      </c>
      <c r="F95" t="s">
        <v>1635</v>
      </c>
      <c r="G95" t="s">
        <v>74</v>
      </c>
      <c r="H95" t="s">
        <v>74</v>
      </c>
      <c r="I95" t="s">
        <v>1636</v>
      </c>
      <c r="J95" t="s">
        <v>1266</v>
      </c>
      <c r="K95" t="s">
        <v>74</v>
      </c>
      <c r="L95" t="s">
        <v>74</v>
      </c>
      <c r="M95" t="s">
        <v>78</v>
      </c>
      <c r="N95" t="s">
        <v>79</v>
      </c>
      <c r="O95" t="s">
        <v>74</v>
      </c>
      <c r="P95" t="s">
        <v>74</v>
      </c>
      <c r="Q95" t="s">
        <v>74</v>
      </c>
      <c r="R95" t="s">
        <v>74</v>
      </c>
      <c r="S95" t="s">
        <v>74</v>
      </c>
      <c r="T95" t="s">
        <v>1637</v>
      </c>
      <c r="U95" t="s">
        <v>1638</v>
      </c>
      <c r="V95" t="s">
        <v>1639</v>
      </c>
      <c r="W95" t="s">
        <v>1640</v>
      </c>
      <c r="X95" t="s">
        <v>1641</v>
      </c>
      <c r="Y95" t="s">
        <v>1642</v>
      </c>
      <c r="Z95" t="s">
        <v>1643</v>
      </c>
      <c r="AA95" t="s">
        <v>1644</v>
      </c>
      <c r="AB95" t="s">
        <v>1645</v>
      </c>
      <c r="AC95" t="s">
        <v>1646</v>
      </c>
      <c r="AD95" t="s">
        <v>1647</v>
      </c>
      <c r="AE95" t="s">
        <v>74</v>
      </c>
      <c r="AF95" t="s">
        <v>74</v>
      </c>
      <c r="AG95">
        <v>31</v>
      </c>
      <c r="AH95">
        <v>82</v>
      </c>
      <c r="AI95">
        <v>92</v>
      </c>
      <c r="AJ95">
        <v>2</v>
      </c>
      <c r="AK95">
        <v>34</v>
      </c>
      <c r="AL95" t="s">
        <v>817</v>
      </c>
      <c r="AM95" t="s">
        <v>818</v>
      </c>
      <c r="AN95" t="s">
        <v>819</v>
      </c>
      <c r="AO95" t="s">
        <v>1279</v>
      </c>
      <c r="AP95" t="s">
        <v>74</v>
      </c>
      <c r="AQ95" t="s">
        <v>74</v>
      </c>
      <c r="AR95" t="s">
        <v>1281</v>
      </c>
      <c r="AS95" t="s">
        <v>1282</v>
      </c>
      <c r="AT95" t="s">
        <v>74</v>
      </c>
      <c r="AU95">
        <v>2007</v>
      </c>
      <c r="AV95">
        <v>54</v>
      </c>
      <c r="AW95" t="s">
        <v>1617</v>
      </c>
      <c r="AX95" t="s">
        <v>74</v>
      </c>
      <c r="AY95" t="s">
        <v>74</v>
      </c>
      <c r="AZ95" t="s">
        <v>74</v>
      </c>
      <c r="BA95" t="s">
        <v>74</v>
      </c>
      <c r="BB95">
        <v>1989</v>
      </c>
      <c r="BC95">
        <v>1998</v>
      </c>
      <c r="BD95" t="s">
        <v>74</v>
      </c>
      <c r="BE95" t="s">
        <v>1648</v>
      </c>
      <c r="BF95" t="str">
        <f>HYPERLINK("http://dx.doi.org/10.1016/j.dsr2.2007.06.003","http://dx.doi.org/10.1016/j.dsr2.2007.06.003")</f>
        <v>http://dx.doi.org/10.1016/j.dsr2.2007.06.003</v>
      </c>
      <c r="BG95" t="s">
        <v>74</v>
      </c>
      <c r="BH95" t="s">
        <v>74</v>
      </c>
      <c r="BI95">
        <v>10</v>
      </c>
      <c r="BJ95" t="s">
        <v>1260</v>
      </c>
      <c r="BK95" t="s">
        <v>97</v>
      </c>
      <c r="BL95" t="s">
        <v>1260</v>
      </c>
      <c r="BM95" t="s">
        <v>1619</v>
      </c>
      <c r="BN95" t="s">
        <v>74</v>
      </c>
      <c r="BO95" t="s">
        <v>1384</v>
      </c>
      <c r="BP95" t="s">
        <v>74</v>
      </c>
      <c r="BQ95" t="s">
        <v>74</v>
      </c>
      <c r="BR95" t="s">
        <v>100</v>
      </c>
      <c r="BS95" t="s">
        <v>1649</v>
      </c>
      <c r="BT95" t="str">
        <f>HYPERLINK("https%3A%2F%2Fwww.webofscience.com%2Fwos%2Fwoscc%2Ffull-record%2FWOS:000251492300006","View Full Record in Web of Science")</f>
        <v>View Full Record in Web of Science</v>
      </c>
    </row>
    <row r="96" spans="1:72" x14ac:dyDescent="0.15">
      <c r="A96" t="s">
        <v>72</v>
      </c>
      <c r="B96" t="s">
        <v>1650</v>
      </c>
      <c r="C96" t="s">
        <v>74</v>
      </c>
      <c r="D96" t="s">
        <v>74</v>
      </c>
      <c r="E96" t="s">
        <v>74</v>
      </c>
      <c r="F96" t="s">
        <v>1651</v>
      </c>
      <c r="G96" t="s">
        <v>74</v>
      </c>
      <c r="H96" t="s">
        <v>74</v>
      </c>
      <c r="I96" t="s">
        <v>1652</v>
      </c>
      <c r="J96" t="s">
        <v>1266</v>
      </c>
      <c r="K96" t="s">
        <v>74</v>
      </c>
      <c r="L96" t="s">
        <v>74</v>
      </c>
      <c r="M96" t="s">
        <v>78</v>
      </c>
      <c r="N96" t="s">
        <v>79</v>
      </c>
      <c r="O96" t="s">
        <v>74</v>
      </c>
      <c r="P96" t="s">
        <v>74</v>
      </c>
      <c r="Q96" t="s">
        <v>74</v>
      </c>
      <c r="R96" t="s">
        <v>74</v>
      </c>
      <c r="S96" t="s">
        <v>74</v>
      </c>
      <c r="T96" t="s">
        <v>1653</v>
      </c>
      <c r="U96" t="s">
        <v>1654</v>
      </c>
      <c r="V96" t="s">
        <v>1655</v>
      </c>
      <c r="W96" t="s">
        <v>1656</v>
      </c>
      <c r="X96" t="s">
        <v>1657</v>
      </c>
      <c r="Y96" t="s">
        <v>1658</v>
      </c>
      <c r="Z96" t="s">
        <v>1659</v>
      </c>
      <c r="AA96" t="s">
        <v>1660</v>
      </c>
      <c r="AB96" t="s">
        <v>1661</v>
      </c>
      <c r="AC96" t="s">
        <v>1662</v>
      </c>
      <c r="AD96" t="s">
        <v>1254</v>
      </c>
      <c r="AE96" t="s">
        <v>74</v>
      </c>
      <c r="AF96" t="s">
        <v>74</v>
      </c>
      <c r="AG96">
        <v>70</v>
      </c>
      <c r="AH96">
        <v>129</v>
      </c>
      <c r="AI96">
        <v>136</v>
      </c>
      <c r="AJ96">
        <v>1</v>
      </c>
      <c r="AK96">
        <v>31</v>
      </c>
      <c r="AL96" t="s">
        <v>817</v>
      </c>
      <c r="AM96" t="s">
        <v>818</v>
      </c>
      <c r="AN96" t="s">
        <v>819</v>
      </c>
      <c r="AO96" t="s">
        <v>1279</v>
      </c>
      <c r="AP96" t="s">
        <v>1280</v>
      </c>
      <c r="AQ96" t="s">
        <v>74</v>
      </c>
      <c r="AR96" t="s">
        <v>1281</v>
      </c>
      <c r="AS96" t="s">
        <v>1282</v>
      </c>
      <c r="AT96" t="s">
        <v>74</v>
      </c>
      <c r="AU96">
        <v>2007</v>
      </c>
      <c r="AV96">
        <v>54</v>
      </c>
      <c r="AW96" t="s">
        <v>1617</v>
      </c>
      <c r="AX96" t="s">
        <v>74</v>
      </c>
      <c r="AY96" t="s">
        <v>74</v>
      </c>
      <c r="AZ96" t="s">
        <v>74</v>
      </c>
      <c r="BA96" t="s">
        <v>74</v>
      </c>
      <c r="BB96">
        <v>1999</v>
      </c>
      <c r="BC96">
        <v>2019</v>
      </c>
      <c r="BD96" t="s">
        <v>74</v>
      </c>
      <c r="BE96" t="s">
        <v>1663</v>
      </c>
      <c r="BF96" t="str">
        <f>HYPERLINK("http://dx.doi.org/10.1016/j.dsr2.2007.06.019","http://dx.doi.org/10.1016/j.dsr2.2007.06.019")</f>
        <v>http://dx.doi.org/10.1016/j.dsr2.2007.06.019</v>
      </c>
      <c r="BG96" t="s">
        <v>74</v>
      </c>
      <c r="BH96" t="s">
        <v>74</v>
      </c>
      <c r="BI96">
        <v>21</v>
      </c>
      <c r="BJ96" t="s">
        <v>1260</v>
      </c>
      <c r="BK96" t="s">
        <v>97</v>
      </c>
      <c r="BL96" t="s">
        <v>1260</v>
      </c>
      <c r="BM96" t="s">
        <v>1619</v>
      </c>
      <c r="BN96" t="s">
        <v>74</v>
      </c>
      <c r="BO96" t="s">
        <v>1384</v>
      </c>
      <c r="BP96" t="s">
        <v>74</v>
      </c>
      <c r="BQ96" t="s">
        <v>74</v>
      </c>
      <c r="BR96" t="s">
        <v>100</v>
      </c>
      <c r="BS96" t="s">
        <v>1664</v>
      </c>
      <c r="BT96" t="str">
        <f>HYPERLINK("https%3A%2F%2Fwww.webofscience.com%2Fwos%2Fwoscc%2Ffull-record%2FWOS:000251492300007","View Full Record in Web of Science")</f>
        <v>View Full Record in Web of Science</v>
      </c>
    </row>
    <row r="97" spans="1:72" x14ac:dyDescent="0.15">
      <c r="A97" t="s">
        <v>72</v>
      </c>
      <c r="B97" t="s">
        <v>1665</v>
      </c>
      <c r="C97" t="s">
        <v>74</v>
      </c>
      <c r="D97" t="s">
        <v>74</v>
      </c>
      <c r="E97" t="s">
        <v>74</v>
      </c>
      <c r="F97" t="s">
        <v>1666</v>
      </c>
      <c r="G97" t="s">
        <v>74</v>
      </c>
      <c r="H97" t="s">
        <v>74</v>
      </c>
      <c r="I97" t="s">
        <v>1667</v>
      </c>
      <c r="J97" t="s">
        <v>1266</v>
      </c>
      <c r="K97" t="s">
        <v>74</v>
      </c>
      <c r="L97" t="s">
        <v>74</v>
      </c>
      <c r="M97" t="s">
        <v>78</v>
      </c>
      <c r="N97" t="s">
        <v>79</v>
      </c>
      <c r="O97" t="s">
        <v>74</v>
      </c>
      <c r="P97" t="s">
        <v>74</v>
      </c>
      <c r="Q97" t="s">
        <v>74</v>
      </c>
      <c r="R97" t="s">
        <v>74</v>
      </c>
      <c r="S97" t="s">
        <v>74</v>
      </c>
      <c r="T97" t="s">
        <v>1668</v>
      </c>
      <c r="U97" t="s">
        <v>1669</v>
      </c>
      <c r="V97" t="s">
        <v>1670</v>
      </c>
      <c r="W97" t="s">
        <v>1671</v>
      </c>
      <c r="X97" t="s">
        <v>1672</v>
      </c>
      <c r="Y97" t="s">
        <v>1673</v>
      </c>
      <c r="Z97" t="s">
        <v>1674</v>
      </c>
      <c r="AA97" t="s">
        <v>1675</v>
      </c>
      <c r="AB97" t="s">
        <v>1676</v>
      </c>
      <c r="AC97" t="s">
        <v>1677</v>
      </c>
      <c r="AD97" t="s">
        <v>158</v>
      </c>
      <c r="AE97" t="s">
        <v>74</v>
      </c>
      <c r="AF97" t="s">
        <v>74</v>
      </c>
      <c r="AG97">
        <v>69</v>
      </c>
      <c r="AH97">
        <v>70</v>
      </c>
      <c r="AI97">
        <v>74</v>
      </c>
      <c r="AJ97">
        <v>3</v>
      </c>
      <c r="AK97">
        <v>28</v>
      </c>
      <c r="AL97" t="s">
        <v>817</v>
      </c>
      <c r="AM97" t="s">
        <v>818</v>
      </c>
      <c r="AN97" t="s">
        <v>819</v>
      </c>
      <c r="AO97" t="s">
        <v>1279</v>
      </c>
      <c r="AP97" t="s">
        <v>1280</v>
      </c>
      <c r="AQ97" t="s">
        <v>74</v>
      </c>
      <c r="AR97" t="s">
        <v>1281</v>
      </c>
      <c r="AS97" t="s">
        <v>1282</v>
      </c>
      <c r="AT97" t="s">
        <v>74</v>
      </c>
      <c r="AU97">
        <v>2007</v>
      </c>
      <c r="AV97">
        <v>54</v>
      </c>
      <c r="AW97" t="s">
        <v>1617</v>
      </c>
      <c r="AX97" t="s">
        <v>74</v>
      </c>
      <c r="AY97" t="s">
        <v>74</v>
      </c>
      <c r="AZ97" t="s">
        <v>74</v>
      </c>
      <c r="BA97" t="s">
        <v>74</v>
      </c>
      <c r="BB97">
        <v>2045</v>
      </c>
      <c r="BC97">
        <v>2065</v>
      </c>
      <c r="BD97" t="s">
        <v>74</v>
      </c>
      <c r="BE97" t="s">
        <v>1678</v>
      </c>
      <c r="BF97" t="str">
        <f>HYPERLINK("http://dx.doi.org/10.1016/j.dsr2.2007.06.011","http://dx.doi.org/10.1016/j.dsr2.2007.06.011")</f>
        <v>http://dx.doi.org/10.1016/j.dsr2.2007.06.011</v>
      </c>
      <c r="BG97" t="s">
        <v>74</v>
      </c>
      <c r="BH97" t="s">
        <v>74</v>
      </c>
      <c r="BI97">
        <v>21</v>
      </c>
      <c r="BJ97" t="s">
        <v>1260</v>
      </c>
      <c r="BK97" t="s">
        <v>97</v>
      </c>
      <c r="BL97" t="s">
        <v>1260</v>
      </c>
      <c r="BM97" t="s">
        <v>1619</v>
      </c>
      <c r="BN97" t="s">
        <v>74</v>
      </c>
      <c r="BO97" t="s">
        <v>74</v>
      </c>
      <c r="BP97" t="s">
        <v>74</v>
      </c>
      <c r="BQ97" t="s">
        <v>74</v>
      </c>
      <c r="BR97" t="s">
        <v>100</v>
      </c>
      <c r="BS97" t="s">
        <v>1679</v>
      </c>
      <c r="BT97" t="str">
        <f>HYPERLINK("https%3A%2F%2Fwww.webofscience.com%2Fwos%2Fwoscc%2Ffull-record%2FWOS:000251492300009","View Full Record in Web of Science")</f>
        <v>View Full Record in Web of Science</v>
      </c>
    </row>
    <row r="98" spans="1:72" x14ac:dyDescent="0.15">
      <c r="A98" t="s">
        <v>72</v>
      </c>
      <c r="B98" t="s">
        <v>1680</v>
      </c>
      <c r="C98" t="s">
        <v>74</v>
      </c>
      <c r="D98" t="s">
        <v>74</v>
      </c>
      <c r="E98" t="s">
        <v>74</v>
      </c>
      <c r="F98" t="s">
        <v>1681</v>
      </c>
      <c r="G98" t="s">
        <v>74</v>
      </c>
      <c r="H98" t="s">
        <v>74</v>
      </c>
      <c r="I98" t="s">
        <v>1682</v>
      </c>
      <c r="J98" t="s">
        <v>1266</v>
      </c>
      <c r="K98" t="s">
        <v>74</v>
      </c>
      <c r="L98" t="s">
        <v>74</v>
      </c>
      <c r="M98" t="s">
        <v>78</v>
      </c>
      <c r="N98" t="s">
        <v>79</v>
      </c>
      <c r="O98" t="s">
        <v>74</v>
      </c>
      <c r="P98" t="s">
        <v>74</v>
      </c>
      <c r="Q98" t="s">
        <v>74</v>
      </c>
      <c r="R98" t="s">
        <v>74</v>
      </c>
      <c r="S98" t="s">
        <v>74</v>
      </c>
      <c r="T98" t="s">
        <v>1668</v>
      </c>
      <c r="U98" t="s">
        <v>1683</v>
      </c>
      <c r="V98" t="s">
        <v>1684</v>
      </c>
      <c r="W98" t="s">
        <v>1671</v>
      </c>
      <c r="X98" t="s">
        <v>1672</v>
      </c>
      <c r="Y98" t="s">
        <v>1673</v>
      </c>
      <c r="Z98" t="s">
        <v>1674</v>
      </c>
      <c r="AA98" t="s">
        <v>1685</v>
      </c>
      <c r="AB98" t="s">
        <v>1686</v>
      </c>
      <c r="AC98" t="s">
        <v>1687</v>
      </c>
      <c r="AD98" t="s">
        <v>158</v>
      </c>
      <c r="AE98" t="s">
        <v>74</v>
      </c>
      <c r="AF98" t="s">
        <v>74</v>
      </c>
      <c r="AG98">
        <v>56</v>
      </c>
      <c r="AH98">
        <v>40</v>
      </c>
      <c r="AI98">
        <v>43</v>
      </c>
      <c r="AJ98">
        <v>1</v>
      </c>
      <c r="AK98">
        <v>26</v>
      </c>
      <c r="AL98" t="s">
        <v>817</v>
      </c>
      <c r="AM98" t="s">
        <v>818</v>
      </c>
      <c r="AN98" t="s">
        <v>819</v>
      </c>
      <c r="AO98" t="s">
        <v>1279</v>
      </c>
      <c r="AP98" t="s">
        <v>1280</v>
      </c>
      <c r="AQ98" t="s">
        <v>74</v>
      </c>
      <c r="AR98" t="s">
        <v>1281</v>
      </c>
      <c r="AS98" t="s">
        <v>1282</v>
      </c>
      <c r="AT98" t="s">
        <v>74</v>
      </c>
      <c r="AU98">
        <v>2007</v>
      </c>
      <c r="AV98">
        <v>54</v>
      </c>
      <c r="AW98" t="s">
        <v>1617</v>
      </c>
      <c r="AX98" t="s">
        <v>74</v>
      </c>
      <c r="AY98" t="s">
        <v>74</v>
      </c>
      <c r="AZ98" t="s">
        <v>74</v>
      </c>
      <c r="BA98" t="s">
        <v>74</v>
      </c>
      <c r="BB98">
        <v>2066</v>
      </c>
      <c r="BC98">
        <v>2084</v>
      </c>
      <c r="BD98" t="s">
        <v>74</v>
      </c>
      <c r="BE98" t="s">
        <v>1688</v>
      </c>
      <c r="BF98" t="str">
        <f>HYPERLINK("http://dx.doi.org/10.1016/j.dsr2.2007.06.015","http://dx.doi.org/10.1016/j.dsr2.2007.06.015")</f>
        <v>http://dx.doi.org/10.1016/j.dsr2.2007.06.015</v>
      </c>
      <c r="BG98" t="s">
        <v>74</v>
      </c>
      <c r="BH98" t="s">
        <v>74</v>
      </c>
      <c r="BI98">
        <v>19</v>
      </c>
      <c r="BJ98" t="s">
        <v>1260</v>
      </c>
      <c r="BK98" t="s">
        <v>97</v>
      </c>
      <c r="BL98" t="s">
        <v>1260</v>
      </c>
      <c r="BM98" t="s">
        <v>1619</v>
      </c>
      <c r="BN98" t="s">
        <v>74</v>
      </c>
      <c r="BO98" t="s">
        <v>74</v>
      </c>
      <c r="BP98" t="s">
        <v>74</v>
      </c>
      <c r="BQ98" t="s">
        <v>74</v>
      </c>
      <c r="BR98" t="s">
        <v>100</v>
      </c>
      <c r="BS98" t="s">
        <v>1689</v>
      </c>
      <c r="BT98" t="str">
        <f>HYPERLINK("https%3A%2F%2Fwww.webofscience.com%2Fwos%2Fwoscc%2Ffull-record%2FWOS:000251492300010","View Full Record in Web of Science")</f>
        <v>View Full Record in Web of Science</v>
      </c>
    </row>
    <row r="99" spans="1:72" x14ac:dyDescent="0.15">
      <c r="A99" t="s">
        <v>72</v>
      </c>
      <c r="B99" t="s">
        <v>1690</v>
      </c>
      <c r="C99" t="s">
        <v>74</v>
      </c>
      <c r="D99" t="s">
        <v>74</v>
      </c>
      <c r="E99" t="s">
        <v>74</v>
      </c>
      <c r="F99" t="s">
        <v>1691</v>
      </c>
      <c r="G99" t="s">
        <v>74</v>
      </c>
      <c r="H99" t="s">
        <v>74</v>
      </c>
      <c r="I99" t="s">
        <v>1692</v>
      </c>
      <c r="J99" t="s">
        <v>1266</v>
      </c>
      <c r="K99" t="s">
        <v>74</v>
      </c>
      <c r="L99" t="s">
        <v>74</v>
      </c>
      <c r="M99" t="s">
        <v>78</v>
      </c>
      <c r="N99" t="s">
        <v>79</v>
      </c>
      <c r="O99" t="s">
        <v>74</v>
      </c>
      <c r="P99" t="s">
        <v>74</v>
      </c>
      <c r="Q99" t="s">
        <v>74</v>
      </c>
      <c r="R99" t="s">
        <v>74</v>
      </c>
      <c r="S99" t="s">
        <v>74</v>
      </c>
      <c r="T99" t="s">
        <v>1693</v>
      </c>
      <c r="U99" t="s">
        <v>1694</v>
      </c>
      <c r="V99" t="s">
        <v>1695</v>
      </c>
      <c r="W99" t="s">
        <v>1696</v>
      </c>
      <c r="X99" t="s">
        <v>1697</v>
      </c>
      <c r="Y99" t="s">
        <v>1698</v>
      </c>
      <c r="Z99" t="s">
        <v>1699</v>
      </c>
      <c r="AA99" t="s">
        <v>1700</v>
      </c>
      <c r="AB99" t="s">
        <v>1701</v>
      </c>
      <c r="AC99" t="s">
        <v>1702</v>
      </c>
      <c r="AD99" t="s">
        <v>1254</v>
      </c>
      <c r="AE99" t="s">
        <v>74</v>
      </c>
      <c r="AF99" t="s">
        <v>74</v>
      </c>
      <c r="AG99">
        <v>52</v>
      </c>
      <c r="AH99">
        <v>61</v>
      </c>
      <c r="AI99">
        <v>67</v>
      </c>
      <c r="AJ99">
        <v>2</v>
      </c>
      <c r="AK99">
        <v>35</v>
      </c>
      <c r="AL99" t="s">
        <v>817</v>
      </c>
      <c r="AM99" t="s">
        <v>818</v>
      </c>
      <c r="AN99" t="s">
        <v>819</v>
      </c>
      <c r="AO99" t="s">
        <v>1279</v>
      </c>
      <c r="AP99" t="s">
        <v>1280</v>
      </c>
      <c r="AQ99" t="s">
        <v>74</v>
      </c>
      <c r="AR99" t="s">
        <v>1281</v>
      </c>
      <c r="AS99" t="s">
        <v>1282</v>
      </c>
      <c r="AT99" t="s">
        <v>74</v>
      </c>
      <c r="AU99">
        <v>2007</v>
      </c>
      <c r="AV99">
        <v>54</v>
      </c>
      <c r="AW99" t="s">
        <v>1617</v>
      </c>
      <c r="AX99" t="s">
        <v>74</v>
      </c>
      <c r="AY99" t="s">
        <v>74</v>
      </c>
      <c r="AZ99" t="s">
        <v>74</v>
      </c>
      <c r="BA99" t="s">
        <v>74</v>
      </c>
      <c r="BB99">
        <v>2085</v>
      </c>
      <c r="BC99">
        <v>2105</v>
      </c>
      <c r="BD99" t="s">
        <v>74</v>
      </c>
      <c r="BE99" t="s">
        <v>1703</v>
      </c>
      <c r="BF99" t="str">
        <f>HYPERLINK("http://dx.doi.org/10.1016/j.dsr2.2007.06.005","http://dx.doi.org/10.1016/j.dsr2.2007.06.005")</f>
        <v>http://dx.doi.org/10.1016/j.dsr2.2007.06.005</v>
      </c>
      <c r="BG99" t="s">
        <v>74</v>
      </c>
      <c r="BH99" t="s">
        <v>74</v>
      </c>
      <c r="BI99">
        <v>21</v>
      </c>
      <c r="BJ99" t="s">
        <v>1260</v>
      </c>
      <c r="BK99" t="s">
        <v>97</v>
      </c>
      <c r="BL99" t="s">
        <v>1260</v>
      </c>
      <c r="BM99" t="s">
        <v>1619</v>
      </c>
      <c r="BN99" t="s">
        <v>74</v>
      </c>
      <c r="BO99" t="s">
        <v>74</v>
      </c>
      <c r="BP99" t="s">
        <v>74</v>
      </c>
      <c r="BQ99" t="s">
        <v>74</v>
      </c>
      <c r="BR99" t="s">
        <v>100</v>
      </c>
      <c r="BS99" t="s">
        <v>1704</v>
      </c>
      <c r="BT99" t="str">
        <f>HYPERLINK("https%3A%2F%2Fwww.webofscience.com%2Fwos%2Fwoscc%2Ffull-record%2FWOS:000251492300011","View Full Record in Web of Science")</f>
        <v>View Full Record in Web of Science</v>
      </c>
    </row>
    <row r="100" spans="1:72" x14ac:dyDescent="0.15">
      <c r="A100" t="s">
        <v>72</v>
      </c>
      <c r="B100" t="s">
        <v>1705</v>
      </c>
      <c r="C100" t="s">
        <v>74</v>
      </c>
      <c r="D100" t="s">
        <v>74</v>
      </c>
      <c r="E100" t="s">
        <v>74</v>
      </c>
      <c r="F100" t="s">
        <v>1706</v>
      </c>
      <c r="G100" t="s">
        <v>74</v>
      </c>
      <c r="H100" t="s">
        <v>74</v>
      </c>
      <c r="I100" t="s">
        <v>1707</v>
      </c>
      <c r="J100" t="s">
        <v>1266</v>
      </c>
      <c r="K100" t="s">
        <v>74</v>
      </c>
      <c r="L100" t="s">
        <v>74</v>
      </c>
      <c r="M100" t="s">
        <v>78</v>
      </c>
      <c r="N100" t="s">
        <v>79</v>
      </c>
      <c r="O100" t="s">
        <v>74</v>
      </c>
      <c r="P100" t="s">
        <v>74</v>
      </c>
      <c r="Q100" t="s">
        <v>74</v>
      </c>
      <c r="R100" t="s">
        <v>74</v>
      </c>
      <c r="S100" t="s">
        <v>74</v>
      </c>
      <c r="T100" t="s">
        <v>1708</v>
      </c>
      <c r="U100" t="s">
        <v>1709</v>
      </c>
      <c r="V100" t="s">
        <v>1710</v>
      </c>
      <c r="W100" t="s">
        <v>1711</v>
      </c>
      <c r="X100" t="s">
        <v>1712</v>
      </c>
      <c r="Y100" t="s">
        <v>1713</v>
      </c>
      <c r="Z100" t="s">
        <v>1714</v>
      </c>
      <c r="AA100" t="s">
        <v>1715</v>
      </c>
      <c r="AB100" t="s">
        <v>1716</v>
      </c>
      <c r="AC100" t="s">
        <v>1717</v>
      </c>
      <c r="AD100" t="s">
        <v>1254</v>
      </c>
      <c r="AE100" t="s">
        <v>74</v>
      </c>
      <c r="AF100" t="s">
        <v>74</v>
      </c>
      <c r="AG100">
        <v>60</v>
      </c>
      <c r="AH100">
        <v>23</v>
      </c>
      <c r="AI100">
        <v>23</v>
      </c>
      <c r="AJ100">
        <v>0</v>
      </c>
      <c r="AK100">
        <v>11</v>
      </c>
      <c r="AL100" t="s">
        <v>817</v>
      </c>
      <c r="AM100" t="s">
        <v>818</v>
      </c>
      <c r="AN100" t="s">
        <v>819</v>
      </c>
      <c r="AO100" t="s">
        <v>1279</v>
      </c>
      <c r="AP100" t="s">
        <v>1280</v>
      </c>
      <c r="AQ100" t="s">
        <v>74</v>
      </c>
      <c r="AR100" t="s">
        <v>1281</v>
      </c>
      <c r="AS100" t="s">
        <v>1282</v>
      </c>
      <c r="AT100" t="s">
        <v>74</v>
      </c>
      <c r="AU100">
        <v>2007</v>
      </c>
      <c r="AV100">
        <v>54</v>
      </c>
      <c r="AW100" t="s">
        <v>1617</v>
      </c>
      <c r="AX100" t="s">
        <v>74</v>
      </c>
      <c r="AY100" t="s">
        <v>74</v>
      </c>
      <c r="AZ100" t="s">
        <v>74</v>
      </c>
      <c r="BA100" t="s">
        <v>74</v>
      </c>
      <c r="BB100">
        <v>2106</v>
      </c>
      <c r="BC100">
        <v>2125</v>
      </c>
      <c r="BD100" t="s">
        <v>74</v>
      </c>
      <c r="BE100" t="s">
        <v>1718</v>
      </c>
      <c r="BF100" t="str">
        <f>HYPERLINK("http://dx.doi.org/10.1016/j.dsr2.2007.06.016","http://dx.doi.org/10.1016/j.dsr2.2007.06.016")</f>
        <v>http://dx.doi.org/10.1016/j.dsr2.2007.06.016</v>
      </c>
      <c r="BG100" t="s">
        <v>74</v>
      </c>
      <c r="BH100" t="s">
        <v>74</v>
      </c>
      <c r="BI100">
        <v>20</v>
      </c>
      <c r="BJ100" t="s">
        <v>1260</v>
      </c>
      <c r="BK100" t="s">
        <v>97</v>
      </c>
      <c r="BL100" t="s">
        <v>1260</v>
      </c>
      <c r="BM100" t="s">
        <v>1619</v>
      </c>
      <c r="BN100" t="s">
        <v>74</v>
      </c>
      <c r="BO100" t="s">
        <v>74</v>
      </c>
      <c r="BP100" t="s">
        <v>74</v>
      </c>
      <c r="BQ100" t="s">
        <v>74</v>
      </c>
      <c r="BR100" t="s">
        <v>100</v>
      </c>
      <c r="BS100" t="s">
        <v>1719</v>
      </c>
      <c r="BT100" t="str">
        <f>HYPERLINK("https%3A%2F%2Fwww.webofscience.com%2Fwos%2Fwoscc%2Ffull-record%2FWOS:000251492300012","View Full Record in Web of Science")</f>
        <v>View Full Record in Web of Science</v>
      </c>
    </row>
    <row r="101" spans="1:72" x14ac:dyDescent="0.15">
      <c r="A101" t="s">
        <v>72</v>
      </c>
      <c r="B101" t="s">
        <v>1720</v>
      </c>
      <c r="C101" t="s">
        <v>74</v>
      </c>
      <c r="D101" t="s">
        <v>74</v>
      </c>
      <c r="E101" t="s">
        <v>74</v>
      </c>
      <c r="F101" t="s">
        <v>1721</v>
      </c>
      <c r="G101" t="s">
        <v>74</v>
      </c>
      <c r="H101" t="s">
        <v>74</v>
      </c>
      <c r="I101" t="s">
        <v>1722</v>
      </c>
      <c r="J101" t="s">
        <v>1266</v>
      </c>
      <c r="K101" t="s">
        <v>74</v>
      </c>
      <c r="L101" t="s">
        <v>74</v>
      </c>
      <c r="M101" t="s">
        <v>78</v>
      </c>
      <c r="N101" t="s">
        <v>79</v>
      </c>
      <c r="O101" t="s">
        <v>74</v>
      </c>
      <c r="P101" t="s">
        <v>74</v>
      </c>
      <c r="Q101" t="s">
        <v>74</v>
      </c>
      <c r="R101" t="s">
        <v>74</v>
      </c>
      <c r="S101" t="s">
        <v>74</v>
      </c>
      <c r="T101" t="s">
        <v>1723</v>
      </c>
      <c r="U101" t="s">
        <v>1724</v>
      </c>
      <c r="V101" t="s">
        <v>1725</v>
      </c>
      <c r="W101" t="s">
        <v>1726</v>
      </c>
      <c r="X101" t="s">
        <v>1727</v>
      </c>
      <c r="Y101" t="s">
        <v>1728</v>
      </c>
      <c r="Z101" t="s">
        <v>1729</v>
      </c>
      <c r="AA101" t="s">
        <v>1730</v>
      </c>
      <c r="AB101" t="s">
        <v>1731</v>
      </c>
      <c r="AC101" t="s">
        <v>1732</v>
      </c>
      <c r="AD101" t="s">
        <v>158</v>
      </c>
      <c r="AE101" t="s">
        <v>74</v>
      </c>
      <c r="AF101" t="s">
        <v>74</v>
      </c>
      <c r="AG101">
        <v>29</v>
      </c>
      <c r="AH101">
        <v>12</v>
      </c>
      <c r="AI101">
        <v>12</v>
      </c>
      <c r="AJ101">
        <v>1</v>
      </c>
      <c r="AK101">
        <v>13</v>
      </c>
      <c r="AL101" t="s">
        <v>817</v>
      </c>
      <c r="AM101" t="s">
        <v>818</v>
      </c>
      <c r="AN101" t="s">
        <v>819</v>
      </c>
      <c r="AO101" t="s">
        <v>1279</v>
      </c>
      <c r="AP101" t="s">
        <v>1280</v>
      </c>
      <c r="AQ101" t="s">
        <v>74</v>
      </c>
      <c r="AR101" t="s">
        <v>1281</v>
      </c>
      <c r="AS101" t="s">
        <v>1282</v>
      </c>
      <c r="AT101" t="s">
        <v>74</v>
      </c>
      <c r="AU101">
        <v>2007</v>
      </c>
      <c r="AV101">
        <v>54</v>
      </c>
      <c r="AW101" t="s">
        <v>1617</v>
      </c>
      <c r="AX101" t="s">
        <v>74</v>
      </c>
      <c r="AY101" t="s">
        <v>74</v>
      </c>
      <c r="AZ101" t="s">
        <v>74</v>
      </c>
      <c r="BA101" t="s">
        <v>74</v>
      </c>
      <c r="BB101">
        <v>2126</v>
      </c>
      <c r="BC101">
        <v>2137</v>
      </c>
      <c r="BD101" t="s">
        <v>74</v>
      </c>
      <c r="BE101" t="s">
        <v>1733</v>
      </c>
      <c r="BF101" t="str">
        <f>HYPERLINK("http://dx.doi.org/10.1016/j.dsr2.2007.06.020","http://dx.doi.org/10.1016/j.dsr2.2007.06.020")</f>
        <v>http://dx.doi.org/10.1016/j.dsr2.2007.06.020</v>
      </c>
      <c r="BG101" t="s">
        <v>74</v>
      </c>
      <c r="BH101" t="s">
        <v>74</v>
      </c>
      <c r="BI101">
        <v>12</v>
      </c>
      <c r="BJ101" t="s">
        <v>1260</v>
      </c>
      <c r="BK101" t="s">
        <v>97</v>
      </c>
      <c r="BL101" t="s">
        <v>1260</v>
      </c>
      <c r="BM101" t="s">
        <v>1619</v>
      </c>
      <c r="BN101" t="s">
        <v>74</v>
      </c>
      <c r="BO101" t="s">
        <v>74</v>
      </c>
      <c r="BP101" t="s">
        <v>74</v>
      </c>
      <c r="BQ101" t="s">
        <v>74</v>
      </c>
      <c r="BR101" t="s">
        <v>100</v>
      </c>
      <c r="BS101" t="s">
        <v>1734</v>
      </c>
      <c r="BT101" t="str">
        <f>HYPERLINK("https%3A%2F%2Fwww.webofscience.com%2Fwos%2Fwoscc%2Ffull-record%2FWOS:000251492300013","View Full Record in Web of Science")</f>
        <v>View Full Record in Web of Science</v>
      </c>
    </row>
    <row r="102" spans="1:72" x14ac:dyDescent="0.15">
      <c r="A102" t="s">
        <v>72</v>
      </c>
      <c r="B102" t="s">
        <v>1735</v>
      </c>
      <c r="C102" t="s">
        <v>74</v>
      </c>
      <c r="D102" t="s">
        <v>74</v>
      </c>
      <c r="E102" t="s">
        <v>74</v>
      </c>
      <c r="F102" t="s">
        <v>1736</v>
      </c>
      <c r="G102" t="s">
        <v>74</v>
      </c>
      <c r="H102" t="s">
        <v>74</v>
      </c>
      <c r="I102" t="s">
        <v>1737</v>
      </c>
      <c r="J102" t="s">
        <v>1266</v>
      </c>
      <c r="K102" t="s">
        <v>74</v>
      </c>
      <c r="L102" t="s">
        <v>74</v>
      </c>
      <c r="M102" t="s">
        <v>78</v>
      </c>
      <c r="N102" t="s">
        <v>366</v>
      </c>
      <c r="O102" t="s">
        <v>74</v>
      </c>
      <c r="P102" t="s">
        <v>74</v>
      </c>
      <c r="Q102" t="s">
        <v>74</v>
      </c>
      <c r="R102" t="s">
        <v>74</v>
      </c>
      <c r="S102" t="s">
        <v>74</v>
      </c>
      <c r="T102" t="s">
        <v>1738</v>
      </c>
      <c r="U102" t="s">
        <v>1739</v>
      </c>
      <c r="V102" t="s">
        <v>1740</v>
      </c>
      <c r="W102" t="s">
        <v>1741</v>
      </c>
      <c r="X102" t="s">
        <v>1742</v>
      </c>
      <c r="Y102" t="s">
        <v>1743</v>
      </c>
      <c r="Z102" t="s">
        <v>1744</v>
      </c>
      <c r="AA102" t="s">
        <v>1745</v>
      </c>
      <c r="AB102" t="s">
        <v>1746</v>
      </c>
      <c r="AC102" t="s">
        <v>1747</v>
      </c>
      <c r="AD102" t="s">
        <v>1254</v>
      </c>
      <c r="AE102" t="s">
        <v>74</v>
      </c>
      <c r="AF102" t="s">
        <v>74</v>
      </c>
      <c r="AG102">
        <v>124</v>
      </c>
      <c r="AH102">
        <v>28</v>
      </c>
      <c r="AI102">
        <v>28</v>
      </c>
      <c r="AJ102">
        <v>2</v>
      </c>
      <c r="AK102">
        <v>22</v>
      </c>
      <c r="AL102" t="s">
        <v>817</v>
      </c>
      <c r="AM102" t="s">
        <v>818</v>
      </c>
      <c r="AN102" t="s">
        <v>819</v>
      </c>
      <c r="AO102" t="s">
        <v>1279</v>
      </c>
      <c r="AP102" t="s">
        <v>1280</v>
      </c>
      <c r="AQ102" t="s">
        <v>74</v>
      </c>
      <c r="AR102" t="s">
        <v>1281</v>
      </c>
      <c r="AS102" t="s">
        <v>1282</v>
      </c>
      <c r="AT102" t="s">
        <v>74</v>
      </c>
      <c r="AU102">
        <v>2007</v>
      </c>
      <c r="AV102">
        <v>54</v>
      </c>
      <c r="AW102" t="s">
        <v>1617</v>
      </c>
      <c r="AX102" t="s">
        <v>74</v>
      </c>
      <c r="AY102" t="s">
        <v>74</v>
      </c>
      <c r="AZ102" t="s">
        <v>74</v>
      </c>
      <c r="BA102" t="s">
        <v>74</v>
      </c>
      <c r="BB102">
        <v>2138</v>
      </c>
      <c r="BC102">
        <v>2173</v>
      </c>
      <c r="BD102" t="s">
        <v>74</v>
      </c>
      <c r="BE102" t="s">
        <v>1748</v>
      </c>
      <c r="BF102" t="str">
        <f>HYPERLINK("http://dx.doi.org/10.1016/j.dsr2.2007.06.017","http://dx.doi.org/10.1016/j.dsr2.2007.06.017")</f>
        <v>http://dx.doi.org/10.1016/j.dsr2.2007.06.017</v>
      </c>
      <c r="BG102" t="s">
        <v>74</v>
      </c>
      <c r="BH102" t="s">
        <v>74</v>
      </c>
      <c r="BI102">
        <v>36</v>
      </c>
      <c r="BJ102" t="s">
        <v>1260</v>
      </c>
      <c r="BK102" t="s">
        <v>97</v>
      </c>
      <c r="BL102" t="s">
        <v>1260</v>
      </c>
      <c r="BM102" t="s">
        <v>1619</v>
      </c>
      <c r="BN102" t="s">
        <v>74</v>
      </c>
      <c r="BO102" t="s">
        <v>74</v>
      </c>
      <c r="BP102" t="s">
        <v>74</v>
      </c>
      <c r="BQ102" t="s">
        <v>74</v>
      </c>
      <c r="BR102" t="s">
        <v>100</v>
      </c>
      <c r="BS102" t="s">
        <v>1749</v>
      </c>
      <c r="BT102" t="str">
        <f>HYPERLINK("https%3A%2F%2Fwww.webofscience.com%2Fwos%2Fwoscc%2Ffull-record%2FWOS:000251492300014","View Full Record in Web of Science")</f>
        <v>View Full Record in Web of Science</v>
      </c>
    </row>
    <row r="103" spans="1:72" x14ac:dyDescent="0.15">
      <c r="A103" t="s">
        <v>72</v>
      </c>
      <c r="B103" t="s">
        <v>1750</v>
      </c>
      <c r="C103" t="s">
        <v>74</v>
      </c>
      <c r="D103" t="s">
        <v>74</v>
      </c>
      <c r="E103" t="s">
        <v>74</v>
      </c>
      <c r="F103" t="s">
        <v>1751</v>
      </c>
      <c r="G103" t="s">
        <v>74</v>
      </c>
      <c r="H103" t="s">
        <v>74</v>
      </c>
      <c r="I103" t="s">
        <v>1752</v>
      </c>
      <c r="J103" t="s">
        <v>1266</v>
      </c>
      <c r="K103" t="s">
        <v>74</v>
      </c>
      <c r="L103" t="s">
        <v>74</v>
      </c>
      <c r="M103" t="s">
        <v>78</v>
      </c>
      <c r="N103" t="s">
        <v>79</v>
      </c>
      <c r="O103" t="s">
        <v>74</v>
      </c>
      <c r="P103" t="s">
        <v>74</v>
      </c>
      <c r="Q103" t="s">
        <v>74</v>
      </c>
      <c r="R103" t="s">
        <v>74</v>
      </c>
      <c r="S103" t="s">
        <v>74</v>
      </c>
      <c r="T103" t="s">
        <v>1753</v>
      </c>
      <c r="U103" t="s">
        <v>1754</v>
      </c>
      <c r="V103" t="s">
        <v>1755</v>
      </c>
      <c r="W103" t="s">
        <v>1756</v>
      </c>
      <c r="X103" t="s">
        <v>1757</v>
      </c>
      <c r="Y103" t="s">
        <v>1758</v>
      </c>
      <c r="Z103" t="s">
        <v>1759</v>
      </c>
      <c r="AA103" t="s">
        <v>1745</v>
      </c>
      <c r="AB103" t="s">
        <v>1760</v>
      </c>
      <c r="AC103" t="s">
        <v>1616</v>
      </c>
      <c r="AD103" t="s">
        <v>1254</v>
      </c>
      <c r="AE103" t="s">
        <v>74</v>
      </c>
      <c r="AF103" t="s">
        <v>74</v>
      </c>
      <c r="AG103">
        <v>45</v>
      </c>
      <c r="AH103">
        <v>27</v>
      </c>
      <c r="AI103">
        <v>27</v>
      </c>
      <c r="AJ103">
        <v>0</v>
      </c>
      <c r="AK103">
        <v>9</v>
      </c>
      <c r="AL103" t="s">
        <v>817</v>
      </c>
      <c r="AM103" t="s">
        <v>818</v>
      </c>
      <c r="AN103" t="s">
        <v>819</v>
      </c>
      <c r="AO103" t="s">
        <v>1279</v>
      </c>
      <c r="AP103" t="s">
        <v>1280</v>
      </c>
      <c r="AQ103" t="s">
        <v>74</v>
      </c>
      <c r="AR103" t="s">
        <v>1281</v>
      </c>
      <c r="AS103" t="s">
        <v>1282</v>
      </c>
      <c r="AT103" t="s">
        <v>74</v>
      </c>
      <c r="AU103">
        <v>2007</v>
      </c>
      <c r="AV103">
        <v>54</v>
      </c>
      <c r="AW103" t="s">
        <v>1617</v>
      </c>
      <c r="AX103" t="s">
        <v>74</v>
      </c>
      <c r="AY103" t="s">
        <v>74</v>
      </c>
      <c r="AZ103" t="s">
        <v>74</v>
      </c>
      <c r="BA103" t="s">
        <v>74</v>
      </c>
      <c r="BB103">
        <v>2191</v>
      </c>
      <c r="BC103">
        <v>2207</v>
      </c>
      <c r="BD103" t="s">
        <v>74</v>
      </c>
      <c r="BE103" t="s">
        <v>1761</v>
      </c>
      <c r="BF103" t="str">
        <f>HYPERLINK("http://dx.doi.org/10.1016/j.dsr2.2007.06.007","http://dx.doi.org/10.1016/j.dsr2.2007.06.007")</f>
        <v>http://dx.doi.org/10.1016/j.dsr2.2007.06.007</v>
      </c>
      <c r="BG103" t="s">
        <v>74</v>
      </c>
      <c r="BH103" t="s">
        <v>74</v>
      </c>
      <c r="BI103">
        <v>17</v>
      </c>
      <c r="BJ103" t="s">
        <v>1260</v>
      </c>
      <c r="BK103" t="s">
        <v>97</v>
      </c>
      <c r="BL103" t="s">
        <v>1260</v>
      </c>
      <c r="BM103" t="s">
        <v>1619</v>
      </c>
      <c r="BN103" t="s">
        <v>74</v>
      </c>
      <c r="BO103" t="s">
        <v>74</v>
      </c>
      <c r="BP103" t="s">
        <v>74</v>
      </c>
      <c r="BQ103" t="s">
        <v>74</v>
      </c>
      <c r="BR103" t="s">
        <v>100</v>
      </c>
      <c r="BS103" t="s">
        <v>1762</v>
      </c>
      <c r="BT103" t="str">
        <f>HYPERLINK("https%3A%2F%2Fwww.webofscience.com%2Fwos%2Fwoscc%2Ffull-record%2FWOS:000251492300016","View Full Record in Web of Science")</f>
        <v>View Full Record in Web of Science</v>
      </c>
    </row>
    <row r="104" spans="1:72" x14ac:dyDescent="0.15">
      <c r="A104" t="s">
        <v>72</v>
      </c>
      <c r="B104" t="s">
        <v>1763</v>
      </c>
      <c r="C104" t="s">
        <v>74</v>
      </c>
      <c r="D104" t="s">
        <v>74</v>
      </c>
      <c r="E104" t="s">
        <v>74</v>
      </c>
      <c r="F104" t="s">
        <v>1764</v>
      </c>
      <c r="G104" t="s">
        <v>74</v>
      </c>
      <c r="H104" t="s">
        <v>74</v>
      </c>
      <c r="I104" t="s">
        <v>1765</v>
      </c>
      <c r="J104" t="s">
        <v>1266</v>
      </c>
      <c r="K104" t="s">
        <v>74</v>
      </c>
      <c r="L104" t="s">
        <v>74</v>
      </c>
      <c r="M104" t="s">
        <v>78</v>
      </c>
      <c r="N104" t="s">
        <v>79</v>
      </c>
      <c r="O104" t="s">
        <v>74</v>
      </c>
      <c r="P104" t="s">
        <v>74</v>
      </c>
      <c r="Q104" t="s">
        <v>74</v>
      </c>
      <c r="R104" t="s">
        <v>74</v>
      </c>
      <c r="S104" t="s">
        <v>74</v>
      </c>
      <c r="T104" t="s">
        <v>1766</v>
      </c>
      <c r="U104" t="s">
        <v>1767</v>
      </c>
      <c r="V104" t="s">
        <v>1768</v>
      </c>
      <c r="W104" t="s">
        <v>1769</v>
      </c>
      <c r="X104" t="s">
        <v>1770</v>
      </c>
      <c r="Y104" t="s">
        <v>1771</v>
      </c>
      <c r="Z104" t="s">
        <v>1772</v>
      </c>
      <c r="AA104" t="s">
        <v>1773</v>
      </c>
      <c r="AB104" t="s">
        <v>1774</v>
      </c>
      <c r="AC104" t="s">
        <v>1616</v>
      </c>
      <c r="AD104" t="s">
        <v>1254</v>
      </c>
      <c r="AE104" t="s">
        <v>74</v>
      </c>
      <c r="AF104" t="s">
        <v>74</v>
      </c>
      <c r="AG104">
        <v>93</v>
      </c>
      <c r="AH104">
        <v>51</v>
      </c>
      <c r="AI104">
        <v>52</v>
      </c>
      <c r="AJ104">
        <v>1</v>
      </c>
      <c r="AK104">
        <v>11</v>
      </c>
      <c r="AL104" t="s">
        <v>817</v>
      </c>
      <c r="AM104" t="s">
        <v>818</v>
      </c>
      <c r="AN104" t="s">
        <v>819</v>
      </c>
      <c r="AO104" t="s">
        <v>1279</v>
      </c>
      <c r="AP104" t="s">
        <v>74</v>
      </c>
      <c r="AQ104" t="s">
        <v>74</v>
      </c>
      <c r="AR104" t="s">
        <v>1281</v>
      </c>
      <c r="AS104" t="s">
        <v>1282</v>
      </c>
      <c r="AT104" t="s">
        <v>74</v>
      </c>
      <c r="AU104">
        <v>2007</v>
      </c>
      <c r="AV104">
        <v>54</v>
      </c>
      <c r="AW104" t="s">
        <v>1617</v>
      </c>
      <c r="AX104" t="s">
        <v>74</v>
      </c>
      <c r="AY104" t="s">
        <v>74</v>
      </c>
      <c r="AZ104" t="s">
        <v>74</v>
      </c>
      <c r="BA104" t="s">
        <v>74</v>
      </c>
      <c r="BB104">
        <v>2208</v>
      </c>
      <c r="BC104">
        <v>2232</v>
      </c>
      <c r="BD104" t="s">
        <v>74</v>
      </c>
      <c r="BE104" t="s">
        <v>1775</v>
      </c>
      <c r="BF104" t="str">
        <f>HYPERLINK("http://dx.doi.org/10.1016/j.dsr2.2007.06.002","http://dx.doi.org/10.1016/j.dsr2.2007.06.002")</f>
        <v>http://dx.doi.org/10.1016/j.dsr2.2007.06.002</v>
      </c>
      <c r="BG104" t="s">
        <v>74</v>
      </c>
      <c r="BH104" t="s">
        <v>74</v>
      </c>
      <c r="BI104">
        <v>25</v>
      </c>
      <c r="BJ104" t="s">
        <v>1260</v>
      </c>
      <c r="BK104" t="s">
        <v>97</v>
      </c>
      <c r="BL104" t="s">
        <v>1260</v>
      </c>
      <c r="BM104" t="s">
        <v>1619</v>
      </c>
      <c r="BN104" t="s">
        <v>74</v>
      </c>
      <c r="BO104" t="s">
        <v>74</v>
      </c>
      <c r="BP104" t="s">
        <v>74</v>
      </c>
      <c r="BQ104" t="s">
        <v>74</v>
      </c>
      <c r="BR104" t="s">
        <v>100</v>
      </c>
      <c r="BS104" t="s">
        <v>1776</v>
      </c>
      <c r="BT104" t="str">
        <f>HYPERLINK("https%3A%2F%2Fwww.webofscience.com%2Fwos%2Fwoscc%2Ffull-record%2FWOS:000251492300017","View Full Record in Web of Science")</f>
        <v>View Full Record in Web of Science</v>
      </c>
    </row>
    <row r="105" spans="1:72" x14ac:dyDescent="0.15">
      <c r="A105" t="s">
        <v>72</v>
      </c>
      <c r="B105" t="s">
        <v>1777</v>
      </c>
      <c r="C105" t="s">
        <v>74</v>
      </c>
      <c r="D105" t="s">
        <v>74</v>
      </c>
      <c r="E105" t="s">
        <v>74</v>
      </c>
      <c r="F105" t="s">
        <v>1778</v>
      </c>
      <c r="G105" t="s">
        <v>74</v>
      </c>
      <c r="H105" t="s">
        <v>74</v>
      </c>
      <c r="I105" t="s">
        <v>1779</v>
      </c>
      <c r="J105" t="s">
        <v>1266</v>
      </c>
      <c r="K105" t="s">
        <v>74</v>
      </c>
      <c r="L105" t="s">
        <v>74</v>
      </c>
      <c r="M105" t="s">
        <v>78</v>
      </c>
      <c r="N105" t="s">
        <v>176</v>
      </c>
      <c r="O105" t="s">
        <v>1780</v>
      </c>
      <c r="P105" t="s">
        <v>1781</v>
      </c>
      <c r="Q105" t="s">
        <v>1782</v>
      </c>
      <c r="R105" t="s">
        <v>74</v>
      </c>
      <c r="S105" t="s">
        <v>1783</v>
      </c>
      <c r="T105" t="s">
        <v>1784</v>
      </c>
      <c r="U105" t="s">
        <v>1785</v>
      </c>
      <c r="V105" t="s">
        <v>1786</v>
      </c>
      <c r="W105" t="s">
        <v>1787</v>
      </c>
      <c r="X105" t="s">
        <v>1788</v>
      </c>
      <c r="Y105" t="s">
        <v>1789</v>
      </c>
      <c r="Z105" t="s">
        <v>1790</v>
      </c>
      <c r="AA105" t="s">
        <v>1791</v>
      </c>
      <c r="AB105" t="s">
        <v>1792</v>
      </c>
      <c r="AC105" t="s">
        <v>74</v>
      </c>
      <c r="AD105" t="s">
        <v>74</v>
      </c>
      <c r="AE105" t="s">
        <v>74</v>
      </c>
      <c r="AF105" t="s">
        <v>74</v>
      </c>
      <c r="AG105">
        <v>86</v>
      </c>
      <c r="AH105">
        <v>41</v>
      </c>
      <c r="AI105">
        <v>50</v>
      </c>
      <c r="AJ105">
        <v>1</v>
      </c>
      <c r="AK105">
        <v>33</v>
      </c>
      <c r="AL105" t="s">
        <v>817</v>
      </c>
      <c r="AM105" t="s">
        <v>818</v>
      </c>
      <c r="AN105" t="s">
        <v>819</v>
      </c>
      <c r="AO105" t="s">
        <v>1279</v>
      </c>
      <c r="AP105" t="s">
        <v>1280</v>
      </c>
      <c r="AQ105" t="s">
        <v>74</v>
      </c>
      <c r="AR105" t="s">
        <v>1281</v>
      </c>
      <c r="AS105" t="s">
        <v>1282</v>
      </c>
      <c r="AT105" t="s">
        <v>74</v>
      </c>
      <c r="AU105">
        <v>2007</v>
      </c>
      <c r="AV105">
        <v>54</v>
      </c>
      <c r="AW105" t="s">
        <v>1793</v>
      </c>
      <c r="AX105" t="s">
        <v>74</v>
      </c>
      <c r="AY105" t="s">
        <v>74</v>
      </c>
      <c r="AZ105" t="s">
        <v>74</v>
      </c>
      <c r="BA105" t="s">
        <v>74</v>
      </c>
      <c r="BB105">
        <v>2293</v>
      </c>
      <c r="BC105">
        <v>2307</v>
      </c>
      <c r="BD105" t="s">
        <v>74</v>
      </c>
      <c r="BE105" t="s">
        <v>1794</v>
      </c>
      <c r="BF105" t="str">
        <f>HYPERLINK("http://dx.doi.org/10.1016/j.dsr2.2007.07.027","http://dx.doi.org/10.1016/j.dsr2.2007.07.027")</f>
        <v>http://dx.doi.org/10.1016/j.dsr2.2007.07.027</v>
      </c>
      <c r="BG105" t="s">
        <v>74</v>
      </c>
      <c r="BH105" t="s">
        <v>74</v>
      </c>
      <c r="BI105">
        <v>15</v>
      </c>
      <c r="BJ105" t="s">
        <v>1260</v>
      </c>
      <c r="BK105" t="s">
        <v>197</v>
      </c>
      <c r="BL105" t="s">
        <v>1260</v>
      </c>
      <c r="BM105" t="s">
        <v>1795</v>
      </c>
      <c r="BN105" t="s">
        <v>74</v>
      </c>
      <c r="BO105" t="s">
        <v>74</v>
      </c>
      <c r="BP105" t="s">
        <v>74</v>
      </c>
      <c r="BQ105" t="s">
        <v>74</v>
      </c>
      <c r="BR105" t="s">
        <v>100</v>
      </c>
      <c r="BS105" t="s">
        <v>1796</v>
      </c>
      <c r="BT105" t="str">
        <f>HYPERLINK("https%3A%2F%2Fwww.webofscience.com%2Fwos%2Fwoscc%2Ffull-record%2FWOS:000252018600002","View Full Record in Web of Science")</f>
        <v>View Full Record in Web of Science</v>
      </c>
    </row>
    <row r="106" spans="1:72" x14ac:dyDescent="0.15">
      <c r="A106" t="s">
        <v>72</v>
      </c>
      <c r="B106" t="s">
        <v>1797</v>
      </c>
      <c r="C106" t="s">
        <v>74</v>
      </c>
      <c r="D106" t="s">
        <v>74</v>
      </c>
      <c r="E106" t="s">
        <v>74</v>
      </c>
      <c r="F106" t="s">
        <v>1798</v>
      </c>
      <c r="G106" t="s">
        <v>74</v>
      </c>
      <c r="H106" t="s">
        <v>74</v>
      </c>
      <c r="I106" t="s">
        <v>1799</v>
      </c>
      <c r="J106" t="s">
        <v>1266</v>
      </c>
      <c r="K106" t="s">
        <v>74</v>
      </c>
      <c r="L106" t="s">
        <v>74</v>
      </c>
      <c r="M106" t="s">
        <v>78</v>
      </c>
      <c r="N106" t="s">
        <v>176</v>
      </c>
      <c r="O106" t="s">
        <v>1780</v>
      </c>
      <c r="P106" t="s">
        <v>1781</v>
      </c>
      <c r="Q106" t="s">
        <v>1782</v>
      </c>
      <c r="R106" t="s">
        <v>74</v>
      </c>
      <c r="S106" t="s">
        <v>1783</v>
      </c>
      <c r="T106" t="s">
        <v>1800</v>
      </c>
      <c r="U106" t="s">
        <v>1801</v>
      </c>
      <c r="V106" t="s">
        <v>1802</v>
      </c>
      <c r="W106" t="s">
        <v>1803</v>
      </c>
      <c r="X106" t="s">
        <v>1804</v>
      </c>
      <c r="Y106" t="s">
        <v>1805</v>
      </c>
      <c r="Z106" t="s">
        <v>1806</v>
      </c>
      <c r="AA106" t="s">
        <v>1807</v>
      </c>
      <c r="AB106" t="s">
        <v>74</v>
      </c>
      <c r="AC106" t="s">
        <v>74</v>
      </c>
      <c r="AD106" t="s">
        <v>74</v>
      </c>
      <c r="AE106" t="s">
        <v>74</v>
      </c>
      <c r="AF106" t="s">
        <v>74</v>
      </c>
      <c r="AG106">
        <v>63</v>
      </c>
      <c r="AH106">
        <v>15</v>
      </c>
      <c r="AI106">
        <v>16</v>
      </c>
      <c r="AJ106">
        <v>0</v>
      </c>
      <c r="AK106">
        <v>22</v>
      </c>
      <c r="AL106" t="s">
        <v>817</v>
      </c>
      <c r="AM106" t="s">
        <v>818</v>
      </c>
      <c r="AN106" t="s">
        <v>819</v>
      </c>
      <c r="AO106" t="s">
        <v>1279</v>
      </c>
      <c r="AP106" t="s">
        <v>1280</v>
      </c>
      <c r="AQ106" t="s">
        <v>74</v>
      </c>
      <c r="AR106" t="s">
        <v>1281</v>
      </c>
      <c r="AS106" t="s">
        <v>1282</v>
      </c>
      <c r="AT106" t="s">
        <v>74</v>
      </c>
      <c r="AU106">
        <v>2007</v>
      </c>
      <c r="AV106">
        <v>54</v>
      </c>
      <c r="AW106" t="s">
        <v>1793</v>
      </c>
      <c r="AX106" t="s">
        <v>74</v>
      </c>
      <c r="AY106" t="s">
        <v>74</v>
      </c>
      <c r="AZ106" t="s">
        <v>74</v>
      </c>
      <c r="BA106" t="s">
        <v>74</v>
      </c>
      <c r="BB106">
        <v>2308</v>
      </c>
      <c r="BC106">
        <v>2324</v>
      </c>
      <c r="BD106" t="s">
        <v>74</v>
      </c>
      <c r="BE106" t="s">
        <v>1808</v>
      </c>
      <c r="BF106" t="str">
        <f>HYPERLINK("http://dx.doi.org/10.1016/j.dsr2.2007.07.018","http://dx.doi.org/10.1016/j.dsr2.2007.07.018")</f>
        <v>http://dx.doi.org/10.1016/j.dsr2.2007.07.018</v>
      </c>
      <c r="BG106" t="s">
        <v>74</v>
      </c>
      <c r="BH106" t="s">
        <v>74</v>
      </c>
      <c r="BI106">
        <v>17</v>
      </c>
      <c r="BJ106" t="s">
        <v>1260</v>
      </c>
      <c r="BK106" t="s">
        <v>197</v>
      </c>
      <c r="BL106" t="s">
        <v>1260</v>
      </c>
      <c r="BM106" t="s">
        <v>1795</v>
      </c>
      <c r="BN106" t="s">
        <v>74</v>
      </c>
      <c r="BO106" t="s">
        <v>74</v>
      </c>
      <c r="BP106" t="s">
        <v>74</v>
      </c>
      <c r="BQ106" t="s">
        <v>74</v>
      </c>
      <c r="BR106" t="s">
        <v>100</v>
      </c>
      <c r="BS106" t="s">
        <v>1809</v>
      </c>
      <c r="BT106" t="str">
        <f>HYPERLINK("https%3A%2F%2Fwww.webofscience.com%2Fwos%2Fwoscc%2Ffull-record%2FWOS:000252018600003","View Full Record in Web of Science")</f>
        <v>View Full Record in Web of Science</v>
      </c>
    </row>
    <row r="107" spans="1:72" x14ac:dyDescent="0.15">
      <c r="A107" t="s">
        <v>72</v>
      </c>
      <c r="B107" t="s">
        <v>1810</v>
      </c>
      <c r="C107" t="s">
        <v>74</v>
      </c>
      <c r="D107" t="s">
        <v>74</v>
      </c>
      <c r="E107" t="s">
        <v>74</v>
      </c>
      <c r="F107" t="s">
        <v>1811</v>
      </c>
      <c r="G107" t="s">
        <v>74</v>
      </c>
      <c r="H107" t="s">
        <v>74</v>
      </c>
      <c r="I107" t="s">
        <v>1812</v>
      </c>
      <c r="J107" t="s">
        <v>1266</v>
      </c>
      <c r="K107" t="s">
        <v>74</v>
      </c>
      <c r="L107" t="s">
        <v>74</v>
      </c>
      <c r="M107" t="s">
        <v>78</v>
      </c>
      <c r="N107" t="s">
        <v>176</v>
      </c>
      <c r="O107" t="s">
        <v>1780</v>
      </c>
      <c r="P107" t="s">
        <v>1781</v>
      </c>
      <c r="Q107" t="s">
        <v>1782</v>
      </c>
      <c r="R107" t="s">
        <v>74</v>
      </c>
      <c r="S107" t="s">
        <v>1783</v>
      </c>
      <c r="T107" t="s">
        <v>1813</v>
      </c>
      <c r="U107" t="s">
        <v>1814</v>
      </c>
      <c r="V107" t="s">
        <v>1815</v>
      </c>
      <c r="W107" t="s">
        <v>1816</v>
      </c>
      <c r="X107" t="s">
        <v>1817</v>
      </c>
      <c r="Y107" t="s">
        <v>1818</v>
      </c>
      <c r="Z107" t="s">
        <v>1819</v>
      </c>
      <c r="AA107" t="s">
        <v>74</v>
      </c>
      <c r="AB107" t="s">
        <v>74</v>
      </c>
      <c r="AC107" t="s">
        <v>74</v>
      </c>
      <c r="AD107" t="s">
        <v>74</v>
      </c>
      <c r="AE107" t="s">
        <v>74</v>
      </c>
      <c r="AF107" t="s">
        <v>74</v>
      </c>
      <c r="AG107">
        <v>75</v>
      </c>
      <c r="AH107">
        <v>10</v>
      </c>
      <c r="AI107">
        <v>13</v>
      </c>
      <c r="AJ107">
        <v>0</v>
      </c>
      <c r="AK107">
        <v>5</v>
      </c>
      <c r="AL107" t="s">
        <v>817</v>
      </c>
      <c r="AM107" t="s">
        <v>818</v>
      </c>
      <c r="AN107" t="s">
        <v>819</v>
      </c>
      <c r="AO107" t="s">
        <v>1279</v>
      </c>
      <c r="AP107" t="s">
        <v>1280</v>
      </c>
      <c r="AQ107" t="s">
        <v>74</v>
      </c>
      <c r="AR107" t="s">
        <v>1281</v>
      </c>
      <c r="AS107" t="s">
        <v>1282</v>
      </c>
      <c r="AT107" t="s">
        <v>74</v>
      </c>
      <c r="AU107">
        <v>2007</v>
      </c>
      <c r="AV107">
        <v>54</v>
      </c>
      <c r="AW107" t="s">
        <v>1793</v>
      </c>
      <c r="AX107" t="s">
        <v>74</v>
      </c>
      <c r="AY107" t="s">
        <v>74</v>
      </c>
      <c r="AZ107" t="s">
        <v>74</v>
      </c>
      <c r="BA107" t="s">
        <v>74</v>
      </c>
      <c r="BB107">
        <v>2325</v>
      </c>
      <c r="BC107">
        <v>2349</v>
      </c>
      <c r="BD107" t="s">
        <v>74</v>
      </c>
      <c r="BE107" t="s">
        <v>1820</v>
      </c>
      <c r="BF107" t="str">
        <f>HYPERLINK("http://dx.doi.org/10.1016/j.dsr2.2007.07.020","http://dx.doi.org/10.1016/j.dsr2.2007.07.020")</f>
        <v>http://dx.doi.org/10.1016/j.dsr2.2007.07.020</v>
      </c>
      <c r="BG107" t="s">
        <v>74</v>
      </c>
      <c r="BH107" t="s">
        <v>74</v>
      </c>
      <c r="BI107">
        <v>25</v>
      </c>
      <c r="BJ107" t="s">
        <v>1260</v>
      </c>
      <c r="BK107" t="s">
        <v>197</v>
      </c>
      <c r="BL107" t="s">
        <v>1260</v>
      </c>
      <c r="BM107" t="s">
        <v>1795</v>
      </c>
      <c r="BN107" t="s">
        <v>74</v>
      </c>
      <c r="BO107" t="s">
        <v>74</v>
      </c>
      <c r="BP107" t="s">
        <v>74</v>
      </c>
      <c r="BQ107" t="s">
        <v>74</v>
      </c>
      <c r="BR107" t="s">
        <v>100</v>
      </c>
      <c r="BS107" t="s">
        <v>1821</v>
      </c>
      <c r="BT107" t="str">
        <f>HYPERLINK("https%3A%2F%2Fwww.webofscience.com%2Fwos%2Fwoscc%2Ffull-record%2FWOS:000252018600004","View Full Record in Web of Science")</f>
        <v>View Full Record in Web of Science</v>
      </c>
    </row>
    <row r="108" spans="1:72" x14ac:dyDescent="0.15">
      <c r="A108" t="s">
        <v>72</v>
      </c>
      <c r="B108" t="s">
        <v>1822</v>
      </c>
      <c r="C108" t="s">
        <v>74</v>
      </c>
      <c r="D108" t="s">
        <v>74</v>
      </c>
      <c r="E108" t="s">
        <v>74</v>
      </c>
      <c r="F108" t="s">
        <v>1823</v>
      </c>
      <c r="G108" t="s">
        <v>74</v>
      </c>
      <c r="H108" t="s">
        <v>74</v>
      </c>
      <c r="I108" t="s">
        <v>1824</v>
      </c>
      <c r="J108" t="s">
        <v>1266</v>
      </c>
      <c r="K108" t="s">
        <v>74</v>
      </c>
      <c r="L108" t="s">
        <v>74</v>
      </c>
      <c r="M108" t="s">
        <v>78</v>
      </c>
      <c r="N108" t="s">
        <v>176</v>
      </c>
      <c r="O108" t="s">
        <v>1780</v>
      </c>
      <c r="P108" t="s">
        <v>1781</v>
      </c>
      <c r="Q108" t="s">
        <v>1782</v>
      </c>
      <c r="R108" t="s">
        <v>74</v>
      </c>
      <c r="S108" t="s">
        <v>1783</v>
      </c>
      <c r="T108" t="s">
        <v>1825</v>
      </c>
      <c r="U108" t="s">
        <v>1826</v>
      </c>
      <c r="V108" t="s">
        <v>1827</v>
      </c>
      <c r="W108" t="s">
        <v>1828</v>
      </c>
      <c r="X108" t="s">
        <v>1829</v>
      </c>
      <c r="Y108" t="s">
        <v>1830</v>
      </c>
      <c r="Z108" t="s">
        <v>1831</v>
      </c>
      <c r="AA108" t="s">
        <v>74</v>
      </c>
      <c r="AB108" t="s">
        <v>1832</v>
      </c>
      <c r="AC108" t="s">
        <v>74</v>
      </c>
      <c r="AD108" t="s">
        <v>74</v>
      </c>
      <c r="AE108" t="s">
        <v>74</v>
      </c>
      <c r="AF108" t="s">
        <v>74</v>
      </c>
      <c r="AG108">
        <v>109</v>
      </c>
      <c r="AH108">
        <v>46</v>
      </c>
      <c r="AI108">
        <v>54</v>
      </c>
      <c r="AJ108">
        <v>0</v>
      </c>
      <c r="AK108">
        <v>24</v>
      </c>
      <c r="AL108" t="s">
        <v>817</v>
      </c>
      <c r="AM108" t="s">
        <v>818</v>
      </c>
      <c r="AN108" t="s">
        <v>819</v>
      </c>
      <c r="AO108" t="s">
        <v>1279</v>
      </c>
      <c r="AP108" t="s">
        <v>1280</v>
      </c>
      <c r="AQ108" t="s">
        <v>74</v>
      </c>
      <c r="AR108" t="s">
        <v>1281</v>
      </c>
      <c r="AS108" t="s">
        <v>1282</v>
      </c>
      <c r="AT108" t="s">
        <v>74</v>
      </c>
      <c r="AU108">
        <v>2007</v>
      </c>
      <c r="AV108">
        <v>54</v>
      </c>
      <c r="AW108" t="s">
        <v>1793</v>
      </c>
      <c r="AX108" t="s">
        <v>74</v>
      </c>
      <c r="AY108" t="s">
        <v>74</v>
      </c>
      <c r="AZ108" t="s">
        <v>74</v>
      </c>
      <c r="BA108" t="s">
        <v>74</v>
      </c>
      <c r="BB108">
        <v>2350</v>
      </c>
      <c r="BC108">
        <v>2366</v>
      </c>
      <c r="BD108" t="s">
        <v>74</v>
      </c>
      <c r="BE108" t="s">
        <v>1833</v>
      </c>
      <c r="BF108" t="str">
        <f>HYPERLINK("http://dx.doi.org/10.1016/j.dsr2.2007.07.025","http://dx.doi.org/10.1016/j.dsr2.2007.07.025")</f>
        <v>http://dx.doi.org/10.1016/j.dsr2.2007.07.025</v>
      </c>
      <c r="BG108" t="s">
        <v>74</v>
      </c>
      <c r="BH108" t="s">
        <v>74</v>
      </c>
      <c r="BI108">
        <v>17</v>
      </c>
      <c r="BJ108" t="s">
        <v>1260</v>
      </c>
      <c r="BK108" t="s">
        <v>197</v>
      </c>
      <c r="BL108" t="s">
        <v>1260</v>
      </c>
      <c r="BM108" t="s">
        <v>1795</v>
      </c>
      <c r="BN108" t="s">
        <v>74</v>
      </c>
      <c r="BO108" t="s">
        <v>74</v>
      </c>
      <c r="BP108" t="s">
        <v>74</v>
      </c>
      <c r="BQ108" t="s">
        <v>74</v>
      </c>
      <c r="BR108" t="s">
        <v>100</v>
      </c>
      <c r="BS108" t="s">
        <v>1834</v>
      </c>
      <c r="BT108" t="str">
        <f>HYPERLINK("https%3A%2F%2Fwww.webofscience.com%2Fwos%2Fwoscc%2Ffull-record%2FWOS:000252018600005","View Full Record in Web of Science")</f>
        <v>View Full Record in Web of Science</v>
      </c>
    </row>
    <row r="109" spans="1:72" x14ac:dyDescent="0.15">
      <c r="A109" t="s">
        <v>72</v>
      </c>
      <c r="B109" t="s">
        <v>1835</v>
      </c>
      <c r="C109" t="s">
        <v>74</v>
      </c>
      <c r="D109" t="s">
        <v>74</v>
      </c>
      <c r="E109" t="s">
        <v>74</v>
      </c>
      <c r="F109" t="s">
        <v>1836</v>
      </c>
      <c r="G109" t="s">
        <v>74</v>
      </c>
      <c r="H109" t="s">
        <v>74</v>
      </c>
      <c r="I109" t="s">
        <v>1837</v>
      </c>
      <c r="J109" t="s">
        <v>1266</v>
      </c>
      <c r="K109" t="s">
        <v>74</v>
      </c>
      <c r="L109" t="s">
        <v>74</v>
      </c>
      <c r="M109" t="s">
        <v>78</v>
      </c>
      <c r="N109" t="s">
        <v>176</v>
      </c>
      <c r="O109" t="s">
        <v>1780</v>
      </c>
      <c r="P109" t="s">
        <v>1781</v>
      </c>
      <c r="Q109" t="s">
        <v>1782</v>
      </c>
      <c r="R109" t="s">
        <v>74</v>
      </c>
      <c r="S109" t="s">
        <v>1783</v>
      </c>
      <c r="T109" t="s">
        <v>1838</v>
      </c>
      <c r="U109" t="s">
        <v>1839</v>
      </c>
      <c r="V109" t="s">
        <v>1840</v>
      </c>
      <c r="W109" t="s">
        <v>1841</v>
      </c>
      <c r="X109" t="s">
        <v>1842</v>
      </c>
      <c r="Y109" t="s">
        <v>1843</v>
      </c>
      <c r="Z109" t="s">
        <v>1844</v>
      </c>
      <c r="AA109" t="s">
        <v>74</v>
      </c>
      <c r="AB109" t="s">
        <v>1845</v>
      </c>
      <c r="AC109" t="s">
        <v>74</v>
      </c>
      <c r="AD109" t="s">
        <v>74</v>
      </c>
      <c r="AE109" t="s">
        <v>74</v>
      </c>
      <c r="AF109" t="s">
        <v>74</v>
      </c>
      <c r="AG109">
        <v>74</v>
      </c>
      <c r="AH109">
        <v>11</v>
      </c>
      <c r="AI109">
        <v>14</v>
      </c>
      <c r="AJ109">
        <v>1</v>
      </c>
      <c r="AK109">
        <v>20</v>
      </c>
      <c r="AL109" t="s">
        <v>817</v>
      </c>
      <c r="AM109" t="s">
        <v>818</v>
      </c>
      <c r="AN109" t="s">
        <v>819</v>
      </c>
      <c r="AO109" t="s">
        <v>1279</v>
      </c>
      <c r="AP109" t="s">
        <v>74</v>
      </c>
      <c r="AQ109" t="s">
        <v>74</v>
      </c>
      <c r="AR109" t="s">
        <v>1281</v>
      </c>
      <c r="AS109" t="s">
        <v>1282</v>
      </c>
      <c r="AT109" t="s">
        <v>74</v>
      </c>
      <c r="AU109">
        <v>2007</v>
      </c>
      <c r="AV109">
        <v>54</v>
      </c>
      <c r="AW109" t="s">
        <v>1793</v>
      </c>
      <c r="AX109" t="s">
        <v>74</v>
      </c>
      <c r="AY109" t="s">
        <v>74</v>
      </c>
      <c r="AZ109" t="s">
        <v>74</v>
      </c>
      <c r="BA109" t="s">
        <v>74</v>
      </c>
      <c r="BB109">
        <v>2367</v>
      </c>
      <c r="BC109">
        <v>2387</v>
      </c>
      <c r="BD109" t="s">
        <v>74</v>
      </c>
      <c r="BE109" t="s">
        <v>1846</v>
      </c>
      <c r="BF109" t="str">
        <f>HYPERLINK("http://dx.doi.org/10.1016/j.dsr2.2007.07.019","http://dx.doi.org/10.1016/j.dsr2.2007.07.019")</f>
        <v>http://dx.doi.org/10.1016/j.dsr2.2007.07.019</v>
      </c>
      <c r="BG109" t="s">
        <v>74</v>
      </c>
      <c r="BH109" t="s">
        <v>74</v>
      </c>
      <c r="BI109">
        <v>21</v>
      </c>
      <c r="BJ109" t="s">
        <v>1260</v>
      </c>
      <c r="BK109" t="s">
        <v>1847</v>
      </c>
      <c r="BL109" t="s">
        <v>1260</v>
      </c>
      <c r="BM109" t="s">
        <v>1795</v>
      </c>
      <c r="BN109" t="s">
        <v>74</v>
      </c>
      <c r="BO109" t="s">
        <v>74</v>
      </c>
      <c r="BP109" t="s">
        <v>74</v>
      </c>
      <c r="BQ109" t="s">
        <v>74</v>
      </c>
      <c r="BR109" t="s">
        <v>100</v>
      </c>
      <c r="BS109" t="s">
        <v>1848</v>
      </c>
      <c r="BT109" t="str">
        <f>HYPERLINK("https%3A%2F%2Fwww.webofscience.com%2Fwos%2Fwoscc%2Ffull-record%2FWOS:000252018600006","View Full Record in Web of Science")</f>
        <v>View Full Record in Web of Science</v>
      </c>
    </row>
    <row r="110" spans="1:72" x14ac:dyDescent="0.15">
      <c r="A110" t="s">
        <v>72</v>
      </c>
      <c r="B110" t="s">
        <v>1849</v>
      </c>
      <c r="C110" t="s">
        <v>74</v>
      </c>
      <c r="D110" t="s">
        <v>74</v>
      </c>
      <c r="E110" t="s">
        <v>74</v>
      </c>
      <c r="F110" t="s">
        <v>1850</v>
      </c>
      <c r="G110" t="s">
        <v>74</v>
      </c>
      <c r="H110" t="s">
        <v>74</v>
      </c>
      <c r="I110" t="s">
        <v>1851</v>
      </c>
      <c r="J110" t="s">
        <v>1266</v>
      </c>
      <c r="K110" t="s">
        <v>74</v>
      </c>
      <c r="L110" t="s">
        <v>74</v>
      </c>
      <c r="M110" t="s">
        <v>78</v>
      </c>
      <c r="N110" t="s">
        <v>176</v>
      </c>
      <c r="O110" t="s">
        <v>1780</v>
      </c>
      <c r="P110" t="s">
        <v>1781</v>
      </c>
      <c r="Q110" t="s">
        <v>1782</v>
      </c>
      <c r="R110" t="s">
        <v>74</v>
      </c>
      <c r="S110" t="s">
        <v>1783</v>
      </c>
      <c r="T110" t="s">
        <v>1852</v>
      </c>
      <c r="U110" t="s">
        <v>1853</v>
      </c>
      <c r="V110" t="s">
        <v>1854</v>
      </c>
      <c r="W110" t="s">
        <v>1855</v>
      </c>
      <c r="X110" t="s">
        <v>1856</v>
      </c>
      <c r="Y110" t="s">
        <v>1789</v>
      </c>
      <c r="Z110" t="s">
        <v>1790</v>
      </c>
      <c r="AA110" t="s">
        <v>1857</v>
      </c>
      <c r="AB110" t="s">
        <v>1858</v>
      </c>
      <c r="AC110" t="s">
        <v>74</v>
      </c>
      <c r="AD110" t="s">
        <v>74</v>
      </c>
      <c r="AE110" t="s">
        <v>74</v>
      </c>
      <c r="AF110" t="s">
        <v>74</v>
      </c>
      <c r="AG110">
        <v>56</v>
      </c>
      <c r="AH110">
        <v>107</v>
      </c>
      <c r="AI110">
        <v>121</v>
      </c>
      <c r="AJ110">
        <v>3</v>
      </c>
      <c r="AK110">
        <v>94</v>
      </c>
      <c r="AL110" t="s">
        <v>817</v>
      </c>
      <c r="AM110" t="s">
        <v>818</v>
      </c>
      <c r="AN110" t="s">
        <v>819</v>
      </c>
      <c r="AO110" t="s">
        <v>1279</v>
      </c>
      <c r="AP110" t="s">
        <v>1280</v>
      </c>
      <c r="AQ110" t="s">
        <v>74</v>
      </c>
      <c r="AR110" t="s">
        <v>1281</v>
      </c>
      <c r="AS110" t="s">
        <v>1282</v>
      </c>
      <c r="AT110" t="s">
        <v>74</v>
      </c>
      <c r="AU110">
        <v>2007</v>
      </c>
      <c r="AV110">
        <v>54</v>
      </c>
      <c r="AW110" t="s">
        <v>1793</v>
      </c>
      <c r="AX110" t="s">
        <v>74</v>
      </c>
      <c r="AY110" t="s">
        <v>74</v>
      </c>
      <c r="AZ110" t="s">
        <v>74</v>
      </c>
      <c r="BA110" t="s">
        <v>74</v>
      </c>
      <c r="BB110">
        <v>2388</v>
      </c>
      <c r="BC110">
        <v>2398</v>
      </c>
      <c r="BD110" t="s">
        <v>74</v>
      </c>
      <c r="BE110" t="s">
        <v>1859</v>
      </c>
      <c r="BF110" t="str">
        <f>HYPERLINK("http://dx.doi.org/10.1016/j.dsr2.2007.07.028","http://dx.doi.org/10.1016/j.dsr2.2007.07.028")</f>
        <v>http://dx.doi.org/10.1016/j.dsr2.2007.07.028</v>
      </c>
      <c r="BG110" t="s">
        <v>74</v>
      </c>
      <c r="BH110" t="s">
        <v>74</v>
      </c>
      <c r="BI110">
        <v>11</v>
      </c>
      <c r="BJ110" t="s">
        <v>1260</v>
      </c>
      <c r="BK110" t="s">
        <v>197</v>
      </c>
      <c r="BL110" t="s">
        <v>1260</v>
      </c>
      <c r="BM110" t="s">
        <v>1795</v>
      </c>
      <c r="BN110" t="s">
        <v>74</v>
      </c>
      <c r="BO110" t="s">
        <v>74</v>
      </c>
      <c r="BP110" t="s">
        <v>74</v>
      </c>
      <c r="BQ110" t="s">
        <v>74</v>
      </c>
      <c r="BR110" t="s">
        <v>100</v>
      </c>
      <c r="BS110" t="s">
        <v>1860</v>
      </c>
      <c r="BT110" t="str">
        <f>HYPERLINK("https%3A%2F%2Fwww.webofscience.com%2Fwos%2Fwoscc%2Ffull-record%2FWOS:000252018600007","View Full Record in Web of Science")</f>
        <v>View Full Record in Web of Science</v>
      </c>
    </row>
    <row r="111" spans="1:72" x14ac:dyDescent="0.15">
      <c r="A111" t="s">
        <v>72</v>
      </c>
      <c r="B111" t="s">
        <v>1861</v>
      </c>
      <c r="C111" t="s">
        <v>74</v>
      </c>
      <c r="D111" t="s">
        <v>74</v>
      </c>
      <c r="E111" t="s">
        <v>74</v>
      </c>
      <c r="F111" t="s">
        <v>1862</v>
      </c>
      <c r="G111" t="s">
        <v>74</v>
      </c>
      <c r="H111" t="s">
        <v>74</v>
      </c>
      <c r="I111" t="s">
        <v>1863</v>
      </c>
      <c r="J111" t="s">
        <v>1266</v>
      </c>
      <c r="K111" t="s">
        <v>74</v>
      </c>
      <c r="L111" t="s">
        <v>74</v>
      </c>
      <c r="M111" t="s">
        <v>78</v>
      </c>
      <c r="N111" t="s">
        <v>176</v>
      </c>
      <c r="O111" t="s">
        <v>1780</v>
      </c>
      <c r="P111" t="s">
        <v>1781</v>
      </c>
      <c r="Q111" t="s">
        <v>1782</v>
      </c>
      <c r="R111" t="s">
        <v>74</v>
      </c>
      <c r="S111" t="s">
        <v>1783</v>
      </c>
      <c r="T111" t="s">
        <v>1864</v>
      </c>
      <c r="U111" t="s">
        <v>1865</v>
      </c>
      <c r="V111" t="s">
        <v>1866</v>
      </c>
      <c r="W111" t="s">
        <v>1867</v>
      </c>
      <c r="X111" t="s">
        <v>1868</v>
      </c>
      <c r="Y111" t="s">
        <v>1869</v>
      </c>
      <c r="Z111" t="s">
        <v>1870</v>
      </c>
      <c r="AA111" t="s">
        <v>74</v>
      </c>
      <c r="AB111" t="s">
        <v>74</v>
      </c>
      <c r="AC111" t="s">
        <v>74</v>
      </c>
      <c r="AD111" t="s">
        <v>74</v>
      </c>
      <c r="AE111" t="s">
        <v>74</v>
      </c>
      <c r="AF111" t="s">
        <v>74</v>
      </c>
      <c r="AG111">
        <v>139</v>
      </c>
      <c r="AH111">
        <v>47</v>
      </c>
      <c r="AI111">
        <v>62</v>
      </c>
      <c r="AJ111">
        <v>2</v>
      </c>
      <c r="AK111">
        <v>47</v>
      </c>
      <c r="AL111" t="s">
        <v>817</v>
      </c>
      <c r="AM111" t="s">
        <v>818</v>
      </c>
      <c r="AN111" t="s">
        <v>819</v>
      </c>
      <c r="AO111" t="s">
        <v>1279</v>
      </c>
      <c r="AP111" t="s">
        <v>1280</v>
      </c>
      <c r="AQ111" t="s">
        <v>74</v>
      </c>
      <c r="AR111" t="s">
        <v>1281</v>
      </c>
      <c r="AS111" t="s">
        <v>1282</v>
      </c>
      <c r="AT111" t="s">
        <v>74</v>
      </c>
      <c r="AU111">
        <v>2007</v>
      </c>
      <c r="AV111">
        <v>54</v>
      </c>
      <c r="AW111" t="s">
        <v>1793</v>
      </c>
      <c r="AX111" t="s">
        <v>74</v>
      </c>
      <c r="AY111" t="s">
        <v>74</v>
      </c>
      <c r="AZ111" t="s">
        <v>74</v>
      </c>
      <c r="BA111" t="s">
        <v>74</v>
      </c>
      <c r="BB111">
        <v>2399</v>
      </c>
      <c r="BC111">
        <v>2421</v>
      </c>
      <c r="BD111" t="s">
        <v>74</v>
      </c>
      <c r="BE111" t="s">
        <v>1871</v>
      </c>
      <c r="BF111" t="str">
        <f>HYPERLINK("http://dx.doi.org/10.1016/j.dsr2.2007.07.024","http://dx.doi.org/10.1016/j.dsr2.2007.07.024")</f>
        <v>http://dx.doi.org/10.1016/j.dsr2.2007.07.024</v>
      </c>
      <c r="BG111" t="s">
        <v>74</v>
      </c>
      <c r="BH111" t="s">
        <v>74</v>
      </c>
      <c r="BI111">
        <v>23</v>
      </c>
      <c r="BJ111" t="s">
        <v>1260</v>
      </c>
      <c r="BK111" t="s">
        <v>197</v>
      </c>
      <c r="BL111" t="s">
        <v>1260</v>
      </c>
      <c r="BM111" t="s">
        <v>1795</v>
      </c>
      <c r="BN111" t="s">
        <v>74</v>
      </c>
      <c r="BO111" t="s">
        <v>74</v>
      </c>
      <c r="BP111" t="s">
        <v>74</v>
      </c>
      <c r="BQ111" t="s">
        <v>74</v>
      </c>
      <c r="BR111" t="s">
        <v>100</v>
      </c>
      <c r="BS111" t="s">
        <v>1872</v>
      </c>
      <c r="BT111" t="str">
        <f>HYPERLINK("https%3A%2F%2Fwww.webofscience.com%2Fwos%2Fwoscc%2Ffull-record%2FWOS:000252018600008","View Full Record in Web of Science")</f>
        <v>View Full Record in Web of Science</v>
      </c>
    </row>
    <row r="112" spans="1:72" x14ac:dyDescent="0.15">
      <c r="A112" t="s">
        <v>72</v>
      </c>
      <c r="B112" t="s">
        <v>1873</v>
      </c>
      <c r="C112" t="s">
        <v>74</v>
      </c>
      <c r="D112" t="s">
        <v>74</v>
      </c>
      <c r="E112" t="s">
        <v>74</v>
      </c>
      <c r="F112" t="s">
        <v>1874</v>
      </c>
      <c r="G112" t="s">
        <v>74</v>
      </c>
      <c r="H112" t="s">
        <v>74</v>
      </c>
      <c r="I112" t="s">
        <v>1875</v>
      </c>
      <c r="J112" t="s">
        <v>1266</v>
      </c>
      <c r="K112" t="s">
        <v>74</v>
      </c>
      <c r="L112" t="s">
        <v>74</v>
      </c>
      <c r="M112" t="s">
        <v>78</v>
      </c>
      <c r="N112" t="s">
        <v>176</v>
      </c>
      <c r="O112" t="s">
        <v>1780</v>
      </c>
      <c r="P112" t="s">
        <v>1781</v>
      </c>
      <c r="Q112" t="s">
        <v>1782</v>
      </c>
      <c r="R112" t="s">
        <v>74</v>
      </c>
      <c r="S112" t="s">
        <v>1783</v>
      </c>
      <c r="T112" t="s">
        <v>74</v>
      </c>
      <c r="U112" t="s">
        <v>1876</v>
      </c>
      <c r="V112" t="s">
        <v>1877</v>
      </c>
      <c r="W112" t="s">
        <v>1878</v>
      </c>
      <c r="X112" t="s">
        <v>1879</v>
      </c>
      <c r="Y112" t="s">
        <v>1880</v>
      </c>
      <c r="Z112" t="s">
        <v>1881</v>
      </c>
      <c r="AA112" t="s">
        <v>1882</v>
      </c>
      <c r="AB112" t="s">
        <v>1883</v>
      </c>
      <c r="AC112" t="s">
        <v>74</v>
      </c>
      <c r="AD112" t="s">
        <v>74</v>
      </c>
      <c r="AE112" t="s">
        <v>74</v>
      </c>
      <c r="AF112" t="s">
        <v>74</v>
      </c>
      <c r="AG112">
        <v>56</v>
      </c>
      <c r="AH112">
        <v>8</v>
      </c>
      <c r="AI112">
        <v>10</v>
      </c>
      <c r="AJ112">
        <v>0</v>
      </c>
      <c r="AK112">
        <v>5</v>
      </c>
      <c r="AL112" t="s">
        <v>817</v>
      </c>
      <c r="AM112" t="s">
        <v>818</v>
      </c>
      <c r="AN112" t="s">
        <v>819</v>
      </c>
      <c r="AO112" t="s">
        <v>1279</v>
      </c>
      <c r="AP112" t="s">
        <v>74</v>
      </c>
      <c r="AQ112" t="s">
        <v>74</v>
      </c>
      <c r="AR112" t="s">
        <v>1281</v>
      </c>
      <c r="AS112" t="s">
        <v>1282</v>
      </c>
      <c r="AT112" t="s">
        <v>74</v>
      </c>
      <c r="AU112">
        <v>2007</v>
      </c>
      <c r="AV112">
        <v>54</v>
      </c>
      <c r="AW112" t="s">
        <v>1793</v>
      </c>
      <c r="AX112" t="s">
        <v>74</v>
      </c>
      <c r="AY112" t="s">
        <v>74</v>
      </c>
      <c r="AZ112" t="s">
        <v>74</v>
      </c>
      <c r="BA112" t="s">
        <v>74</v>
      </c>
      <c r="BB112">
        <v>2422</v>
      </c>
      <c r="BC112">
        <v>2431</v>
      </c>
      <c r="BD112" t="s">
        <v>74</v>
      </c>
      <c r="BE112" t="s">
        <v>1884</v>
      </c>
      <c r="BF112" t="str">
        <f>HYPERLINK("http://dx.doi.org/10.1016/j.dsr2.2007.07.022","http://dx.doi.org/10.1016/j.dsr2.2007.07.022")</f>
        <v>http://dx.doi.org/10.1016/j.dsr2.2007.07.022</v>
      </c>
      <c r="BG112" t="s">
        <v>74</v>
      </c>
      <c r="BH112" t="s">
        <v>74</v>
      </c>
      <c r="BI112">
        <v>10</v>
      </c>
      <c r="BJ112" t="s">
        <v>1260</v>
      </c>
      <c r="BK112" t="s">
        <v>1847</v>
      </c>
      <c r="BL112" t="s">
        <v>1260</v>
      </c>
      <c r="BM112" t="s">
        <v>1795</v>
      </c>
      <c r="BN112" t="s">
        <v>74</v>
      </c>
      <c r="BO112" t="s">
        <v>74</v>
      </c>
      <c r="BP112" t="s">
        <v>74</v>
      </c>
      <c r="BQ112" t="s">
        <v>74</v>
      </c>
      <c r="BR112" t="s">
        <v>100</v>
      </c>
      <c r="BS112" t="s">
        <v>1885</v>
      </c>
      <c r="BT112" t="str">
        <f>HYPERLINK("https%3A%2F%2Fwww.webofscience.com%2Fwos%2Fwoscc%2Ffull-record%2FWOS:000252018600009","View Full Record in Web of Science")</f>
        <v>View Full Record in Web of Science</v>
      </c>
    </row>
    <row r="113" spans="1:72" x14ac:dyDescent="0.15">
      <c r="A113" t="s">
        <v>72</v>
      </c>
      <c r="B113" t="s">
        <v>1886</v>
      </c>
      <c r="C113" t="s">
        <v>74</v>
      </c>
      <c r="D113" t="s">
        <v>74</v>
      </c>
      <c r="E113" t="s">
        <v>74</v>
      </c>
      <c r="F113" t="s">
        <v>1887</v>
      </c>
      <c r="G113" t="s">
        <v>74</v>
      </c>
      <c r="H113" t="s">
        <v>74</v>
      </c>
      <c r="I113" t="s">
        <v>1888</v>
      </c>
      <c r="J113" t="s">
        <v>1266</v>
      </c>
      <c r="K113" t="s">
        <v>74</v>
      </c>
      <c r="L113" t="s">
        <v>74</v>
      </c>
      <c r="M113" t="s">
        <v>78</v>
      </c>
      <c r="N113" t="s">
        <v>176</v>
      </c>
      <c r="O113" t="s">
        <v>1780</v>
      </c>
      <c r="P113" t="s">
        <v>1781</v>
      </c>
      <c r="Q113" t="s">
        <v>1782</v>
      </c>
      <c r="R113" t="s">
        <v>74</v>
      </c>
      <c r="S113" t="s">
        <v>1783</v>
      </c>
      <c r="T113" t="s">
        <v>1889</v>
      </c>
      <c r="U113" t="s">
        <v>1890</v>
      </c>
      <c r="V113" t="s">
        <v>1891</v>
      </c>
      <c r="W113" t="s">
        <v>1892</v>
      </c>
      <c r="X113" t="s">
        <v>1893</v>
      </c>
      <c r="Y113" t="s">
        <v>1894</v>
      </c>
      <c r="Z113" t="s">
        <v>1895</v>
      </c>
      <c r="AA113" t="s">
        <v>1896</v>
      </c>
      <c r="AB113" t="s">
        <v>1897</v>
      </c>
      <c r="AC113" t="s">
        <v>74</v>
      </c>
      <c r="AD113" t="s">
        <v>74</v>
      </c>
      <c r="AE113" t="s">
        <v>74</v>
      </c>
      <c r="AF113" t="s">
        <v>74</v>
      </c>
      <c r="AG113">
        <v>64</v>
      </c>
      <c r="AH113">
        <v>25</v>
      </c>
      <c r="AI113">
        <v>28</v>
      </c>
      <c r="AJ113">
        <v>0</v>
      </c>
      <c r="AK113">
        <v>10</v>
      </c>
      <c r="AL113" t="s">
        <v>817</v>
      </c>
      <c r="AM113" t="s">
        <v>818</v>
      </c>
      <c r="AN113" t="s">
        <v>819</v>
      </c>
      <c r="AO113" t="s">
        <v>1279</v>
      </c>
      <c r="AP113" t="s">
        <v>1280</v>
      </c>
      <c r="AQ113" t="s">
        <v>74</v>
      </c>
      <c r="AR113" t="s">
        <v>1281</v>
      </c>
      <c r="AS113" t="s">
        <v>1282</v>
      </c>
      <c r="AT113" t="s">
        <v>74</v>
      </c>
      <c r="AU113">
        <v>2007</v>
      </c>
      <c r="AV113">
        <v>54</v>
      </c>
      <c r="AW113" t="s">
        <v>1793</v>
      </c>
      <c r="AX113" t="s">
        <v>74</v>
      </c>
      <c r="AY113" t="s">
        <v>74</v>
      </c>
      <c r="AZ113" t="s">
        <v>74</v>
      </c>
      <c r="BA113" t="s">
        <v>74</v>
      </c>
      <c r="BB113">
        <v>2432</v>
      </c>
      <c r="BC113">
        <v>2442</v>
      </c>
      <c r="BD113" t="s">
        <v>74</v>
      </c>
      <c r="BE113" t="s">
        <v>1898</v>
      </c>
      <c r="BF113" t="str">
        <f>HYPERLINK("http://dx.doi.org/10.1016/j.dsr2.2007.07.026","http://dx.doi.org/10.1016/j.dsr2.2007.07.026")</f>
        <v>http://dx.doi.org/10.1016/j.dsr2.2007.07.026</v>
      </c>
      <c r="BG113" t="s">
        <v>74</v>
      </c>
      <c r="BH113" t="s">
        <v>74</v>
      </c>
      <c r="BI113">
        <v>11</v>
      </c>
      <c r="BJ113" t="s">
        <v>1260</v>
      </c>
      <c r="BK113" t="s">
        <v>197</v>
      </c>
      <c r="BL113" t="s">
        <v>1260</v>
      </c>
      <c r="BM113" t="s">
        <v>1795</v>
      </c>
      <c r="BN113" t="s">
        <v>74</v>
      </c>
      <c r="BO113" t="s">
        <v>74</v>
      </c>
      <c r="BP113" t="s">
        <v>74</v>
      </c>
      <c r="BQ113" t="s">
        <v>74</v>
      </c>
      <c r="BR113" t="s">
        <v>100</v>
      </c>
      <c r="BS113" t="s">
        <v>1899</v>
      </c>
      <c r="BT113" t="str">
        <f>HYPERLINK("https%3A%2F%2Fwww.webofscience.com%2Fwos%2Fwoscc%2Ffull-record%2FWOS:000252018600010","View Full Record in Web of Science")</f>
        <v>View Full Record in Web of Science</v>
      </c>
    </row>
    <row r="114" spans="1:72" x14ac:dyDescent="0.15">
      <c r="A114" t="s">
        <v>72</v>
      </c>
      <c r="B114" t="s">
        <v>1900</v>
      </c>
      <c r="C114" t="s">
        <v>74</v>
      </c>
      <c r="D114" t="s">
        <v>74</v>
      </c>
      <c r="E114" t="s">
        <v>74</v>
      </c>
      <c r="F114" t="s">
        <v>1901</v>
      </c>
      <c r="G114" t="s">
        <v>74</v>
      </c>
      <c r="H114" t="s">
        <v>74</v>
      </c>
      <c r="I114" t="s">
        <v>1902</v>
      </c>
      <c r="J114" t="s">
        <v>1266</v>
      </c>
      <c r="K114" t="s">
        <v>74</v>
      </c>
      <c r="L114" t="s">
        <v>74</v>
      </c>
      <c r="M114" t="s">
        <v>78</v>
      </c>
      <c r="N114" t="s">
        <v>176</v>
      </c>
      <c r="O114" t="s">
        <v>1903</v>
      </c>
      <c r="P114" t="s">
        <v>1904</v>
      </c>
      <c r="Q114" t="s">
        <v>1905</v>
      </c>
      <c r="R114" t="s">
        <v>74</v>
      </c>
      <c r="S114" t="s">
        <v>74</v>
      </c>
      <c r="T114" t="s">
        <v>1906</v>
      </c>
      <c r="U114" t="s">
        <v>1907</v>
      </c>
      <c r="V114" t="s">
        <v>1908</v>
      </c>
      <c r="W114" t="s">
        <v>1909</v>
      </c>
      <c r="X114" t="s">
        <v>1910</v>
      </c>
      <c r="Y114" t="s">
        <v>1911</v>
      </c>
      <c r="Z114" t="s">
        <v>1912</v>
      </c>
      <c r="AA114" t="s">
        <v>74</v>
      </c>
      <c r="AB114" t="s">
        <v>74</v>
      </c>
      <c r="AC114" t="s">
        <v>74</v>
      </c>
      <c r="AD114" t="s">
        <v>74</v>
      </c>
      <c r="AE114" t="s">
        <v>74</v>
      </c>
      <c r="AF114" t="s">
        <v>74</v>
      </c>
      <c r="AG114">
        <v>40</v>
      </c>
      <c r="AH114">
        <v>25</v>
      </c>
      <c r="AI114">
        <v>39</v>
      </c>
      <c r="AJ114">
        <v>2</v>
      </c>
      <c r="AK114">
        <v>15</v>
      </c>
      <c r="AL114" t="s">
        <v>817</v>
      </c>
      <c r="AM114" t="s">
        <v>818</v>
      </c>
      <c r="AN114" t="s">
        <v>819</v>
      </c>
      <c r="AO114" t="s">
        <v>1279</v>
      </c>
      <c r="AP114" t="s">
        <v>1280</v>
      </c>
      <c r="AQ114" t="s">
        <v>74</v>
      </c>
      <c r="AR114" t="s">
        <v>1281</v>
      </c>
      <c r="AS114" t="s">
        <v>1282</v>
      </c>
      <c r="AT114" t="s">
        <v>74</v>
      </c>
      <c r="AU114">
        <v>2007</v>
      </c>
      <c r="AV114">
        <v>54</v>
      </c>
      <c r="AW114" t="s">
        <v>1913</v>
      </c>
      <c r="AX114" t="s">
        <v>74</v>
      </c>
      <c r="AY114" t="s">
        <v>74</v>
      </c>
      <c r="AZ114" t="s">
        <v>74</v>
      </c>
      <c r="BA114" t="s">
        <v>74</v>
      </c>
      <c r="BB114">
        <v>2619</v>
      </c>
      <c r="BC114">
        <v>2629</v>
      </c>
      <c r="BD114" t="s">
        <v>74</v>
      </c>
      <c r="BE114" t="s">
        <v>1914</v>
      </c>
      <c r="BF114" t="str">
        <f>HYPERLINK("http://dx.doi.org/10.1016/j.dsr2.2007.08.010","http://dx.doi.org/10.1016/j.dsr2.2007.08.010")</f>
        <v>http://dx.doi.org/10.1016/j.dsr2.2007.08.010</v>
      </c>
      <c r="BG114" t="s">
        <v>74</v>
      </c>
      <c r="BH114" t="s">
        <v>74</v>
      </c>
      <c r="BI114">
        <v>11</v>
      </c>
      <c r="BJ114" t="s">
        <v>1260</v>
      </c>
      <c r="BK114" t="s">
        <v>197</v>
      </c>
      <c r="BL114" t="s">
        <v>1260</v>
      </c>
      <c r="BM114" t="s">
        <v>1915</v>
      </c>
      <c r="BN114" t="s">
        <v>74</v>
      </c>
      <c r="BO114" t="s">
        <v>74</v>
      </c>
      <c r="BP114" t="s">
        <v>74</v>
      </c>
      <c r="BQ114" t="s">
        <v>74</v>
      </c>
      <c r="BR114" t="s">
        <v>100</v>
      </c>
      <c r="BS114" t="s">
        <v>1916</v>
      </c>
      <c r="BT114" t="str">
        <f>HYPERLINK("https%3A%2F%2Fwww.webofscience.com%2Fwos%2Fwoscc%2Ffull-record%2FWOS:000252385500010","View Full Record in Web of Science")</f>
        <v>View Full Record in Web of Science</v>
      </c>
    </row>
    <row r="115" spans="1:72" x14ac:dyDescent="0.15">
      <c r="A115" t="s">
        <v>213</v>
      </c>
      <c r="B115" t="s">
        <v>1917</v>
      </c>
      <c r="C115" t="s">
        <v>74</v>
      </c>
      <c r="D115" t="s">
        <v>1918</v>
      </c>
      <c r="E115" t="s">
        <v>74</v>
      </c>
      <c r="F115" t="s">
        <v>1919</v>
      </c>
      <c r="G115" t="s">
        <v>74</v>
      </c>
      <c r="H115" t="s">
        <v>74</v>
      </c>
      <c r="I115" t="s">
        <v>1920</v>
      </c>
      <c r="J115" t="s">
        <v>1921</v>
      </c>
      <c r="K115" t="s">
        <v>74</v>
      </c>
      <c r="L115" t="s">
        <v>74</v>
      </c>
      <c r="M115" t="s">
        <v>78</v>
      </c>
      <c r="N115" t="s">
        <v>219</v>
      </c>
      <c r="O115" t="s">
        <v>74</v>
      </c>
      <c r="P115" t="s">
        <v>74</v>
      </c>
      <c r="Q115" t="s">
        <v>74</v>
      </c>
      <c r="R115" t="s">
        <v>74</v>
      </c>
      <c r="S115" t="s">
        <v>74</v>
      </c>
      <c r="T115" t="s">
        <v>74</v>
      </c>
      <c r="U115" t="s">
        <v>1922</v>
      </c>
      <c r="V115" t="s">
        <v>1923</v>
      </c>
      <c r="W115" t="s">
        <v>513</v>
      </c>
      <c r="X115" t="s">
        <v>514</v>
      </c>
      <c r="Y115" t="s">
        <v>1924</v>
      </c>
      <c r="Z115" t="s">
        <v>1925</v>
      </c>
      <c r="AA115" t="s">
        <v>1926</v>
      </c>
      <c r="AB115" t="s">
        <v>74</v>
      </c>
      <c r="AC115" t="s">
        <v>74</v>
      </c>
      <c r="AD115" t="s">
        <v>74</v>
      </c>
      <c r="AE115" t="s">
        <v>74</v>
      </c>
      <c r="AF115" t="s">
        <v>74</v>
      </c>
      <c r="AG115">
        <v>615</v>
      </c>
      <c r="AH115">
        <v>9</v>
      </c>
      <c r="AI115">
        <v>11</v>
      </c>
      <c r="AJ115">
        <v>0</v>
      </c>
      <c r="AK115">
        <v>18</v>
      </c>
      <c r="AL115" t="s">
        <v>1927</v>
      </c>
      <c r="AM115" t="s">
        <v>1928</v>
      </c>
      <c r="AN115" t="s">
        <v>1929</v>
      </c>
      <c r="AO115" t="s">
        <v>74</v>
      </c>
      <c r="AP115" t="s">
        <v>74</v>
      </c>
      <c r="AQ115" t="s">
        <v>1930</v>
      </c>
      <c r="AR115" t="s">
        <v>74</v>
      </c>
      <c r="AS115" t="s">
        <v>74</v>
      </c>
      <c r="AT115" t="s">
        <v>74</v>
      </c>
      <c r="AU115">
        <v>2007</v>
      </c>
      <c r="AV115" t="s">
        <v>74</v>
      </c>
      <c r="AW115" t="s">
        <v>74</v>
      </c>
      <c r="AX115" t="s">
        <v>74</v>
      </c>
      <c r="AY115" t="s">
        <v>74</v>
      </c>
      <c r="AZ115" t="s">
        <v>74</v>
      </c>
      <c r="BA115" t="s">
        <v>74</v>
      </c>
      <c r="BB115">
        <v>5</v>
      </c>
      <c r="BC115">
        <v>59</v>
      </c>
      <c r="BD115" t="s">
        <v>74</v>
      </c>
      <c r="BE115" t="s">
        <v>74</v>
      </c>
      <c r="BF115" t="s">
        <v>74</v>
      </c>
      <c r="BG115" t="s">
        <v>74</v>
      </c>
      <c r="BH115" t="s">
        <v>74</v>
      </c>
      <c r="BI115">
        <v>55</v>
      </c>
      <c r="BJ115" t="s">
        <v>1931</v>
      </c>
      <c r="BK115" t="s">
        <v>238</v>
      </c>
      <c r="BL115" t="s">
        <v>1931</v>
      </c>
      <c r="BM115" t="s">
        <v>1932</v>
      </c>
      <c r="BN115" t="s">
        <v>74</v>
      </c>
      <c r="BO115" t="s">
        <v>74</v>
      </c>
      <c r="BP115" t="s">
        <v>74</v>
      </c>
      <c r="BQ115" t="s">
        <v>74</v>
      </c>
      <c r="BR115" t="s">
        <v>100</v>
      </c>
      <c r="BS115" t="s">
        <v>1933</v>
      </c>
      <c r="BT115" t="str">
        <f>HYPERLINK("https%3A%2F%2Fwww.webofscience.com%2Fwos%2Fwoscc%2Ffull-record%2FWOS:000280735300002","View Full Record in Web of Science")</f>
        <v>View Full Record in Web of Science</v>
      </c>
    </row>
    <row r="116" spans="1:72" x14ac:dyDescent="0.15">
      <c r="A116" t="s">
        <v>213</v>
      </c>
      <c r="B116" t="s">
        <v>1934</v>
      </c>
      <c r="C116" t="s">
        <v>74</v>
      </c>
      <c r="D116" t="s">
        <v>1918</v>
      </c>
      <c r="E116" t="s">
        <v>74</v>
      </c>
      <c r="F116" t="s">
        <v>1935</v>
      </c>
      <c r="G116" t="s">
        <v>74</v>
      </c>
      <c r="H116" t="s">
        <v>74</v>
      </c>
      <c r="I116" t="s">
        <v>1936</v>
      </c>
      <c r="J116" t="s">
        <v>1921</v>
      </c>
      <c r="K116" t="s">
        <v>74</v>
      </c>
      <c r="L116" t="s">
        <v>74</v>
      </c>
      <c r="M116" t="s">
        <v>78</v>
      </c>
      <c r="N116" t="s">
        <v>219</v>
      </c>
      <c r="O116" t="s">
        <v>74</v>
      </c>
      <c r="P116" t="s">
        <v>74</v>
      </c>
      <c r="Q116" t="s">
        <v>74</v>
      </c>
      <c r="R116" t="s">
        <v>74</v>
      </c>
      <c r="S116" t="s">
        <v>74</v>
      </c>
      <c r="T116" t="s">
        <v>74</v>
      </c>
      <c r="U116" t="s">
        <v>1937</v>
      </c>
      <c r="V116" t="s">
        <v>1938</v>
      </c>
      <c r="W116" t="s">
        <v>1939</v>
      </c>
      <c r="X116" t="s">
        <v>1940</v>
      </c>
      <c r="Y116" t="s">
        <v>1941</v>
      </c>
      <c r="Z116" t="s">
        <v>1942</v>
      </c>
      <c r="AA116" t="s">
        <v>1943</v>
      </c>
      <c r="AB116" t="s">
        <v>1944</v>
      </c>
      <c r="AC116" t="s">
        <v>74</v>
      </c>
      <c r="AD116" t="s">
        <v>74</v>
      </c>
      <c r="AE116" t="s">
        <v>74</v>
      </c>
      <c r="AF116" t="s">
        <v>74</v>
      </c>
      <c r="AG116">
        <v>286</v>
      </c>
      <c r="AH116">
        <v>101</v>
      </c>
      <c r="AI116">
        <v>109</v>
      </c>
      <c r="AJ116">
        <v>0</v>
      </c>
      <c r="AK116">
        <v>19</v>
      </c>
      <c r="AL116" t="s">
        <v>1927</v>
      </c>
      <c r="AM116" t="s">
        <v>1928</v>
      </c>
      <c r="AN116" t="s">
        <v>1929</v>
      </c>
      <c r="AO116" t="s">
        <v>74</v>
      </c>
      <c r="AP116" t="s">
        <v>74</v>
      </c>
      <c r="AQ116" t="s">
        <v>1930</v>
      </c>
      <c r="AR116" t="s">
        <v>74</v>
      </c>
      <c r="AS116" t="s">
        <v>74</v>
      </c>
      <c r="AT116" t="s">
        <v>74</v>
      </c>
      <c r="AU116">
        <v>2007</v>
      </c>
      <c r="AV116" t="s">
        <v>74</v>
      </c>
      <c r="AW116" t="s">
        <v>74</v>
      </c>
      <c r="AX116" t="s">
        <v>74</v>
      </c>
      <c r="AY116" t="s">
        <v>74</v>
      </c>
      <c r="AZ116" t="s">
        <v>74</v>
      </c>
      <c r="BA116" t="s">
        <v>74</v>
      </c>
      <c r="BB116">
        <v>351</v>
      </c>
      <c r="BC116">
        <v>387</v>
      </c>
      <c r="BD116" t="s">
        <v>74</v>
      </c>
      <c r="BE116" t="s">
        <v>74</v>
      </c>
      <c r="BF116" t="s">
        <v>74</v>
      </c>
      <c r="BG116" t="s">
        <v>74</v>
      </c>
      <c r="BH116" t="s">
        <v>74</v>
      </c>
      <c r="BI116">
        <v>37</v>
      </c>
      <c r="BJ116" t="s">
        <v>1931</v>
      </c>
      <c r="BK116" t="s">
        <v>238</v>
      </c>
      <c r="BL116" t="s">
        <v>1931</v>
      </c>
      <c r="BM116" t="s">
        <v>1932</v>
      </c>
      <c r="BN116" t="s">
        <v>74</v>
      </c>
      <c r="BO116" t="s">
        <v>74</v>
      </c>
      <c r="BP116" t="s">
        <v>74</v>
      </c>
      <c r="BQ116" t="s">
        <v>74</v>
      </c>
      <c r="BR116" t="s">
        <v>100</v>
      </c>
      <c r="BS116" t="s">
        <v>1945</v>
      </c>
      <c r="BT116" t="str">
        <f>HYPERLINK("https%3A%2F%2Fwww.webofscience.com%2Fwos%2Fwoscc%2Ffull-record%2FWOS:000280735300016","View Full Record in Web of Science")</f>
        <v>View Full Record in Web of Science</v>
      </c>
    </row>
    <row r="117" spans="1:72" x14ac:dyDescent="0.15">
      <c r="A117" t="s">
        <v>213</v>
      </c>
      <c r="B117" t="s">
        <v>1946</v>
      </c>
      <c r="C117" t="s">
        <v>74</v>
      </c>
      <c r="D117" t="s">
        <v>1918</v>
      </c>
      <c r="E117" t="s">
        <v>74</v>
      </c>
      <c r="F117" t="s">
        <v>1947</v>
      </c>
      <c r="G117" t="s">
        <v>74</v>
      </c>
      <c r="H117" t="s">
        <v>74</v>
      </c>
      <c r="I117" t="s">
        <v>1948</v>
      </c>
      <c r="J117" t="s">
        <v>1921</v>
      </c>
      <c r="K117" t="s">
        <v>74</v>
      </c>
      <c r="L117" t="s">
        <v>74</v>
      </c>
      <c r="M117" t="s">
        <v>78</v>
      </c>
      <c r="N117" t="s">
        <v>219</v>
      </c>
      <c r="O117" t="s">
        <v>74</v>
      </c>
      <c r="P117" t="s">
        <v>74</v>
      </c>
      <c r="Q117" t="s">
        <v>74</v>
      </c>
      <c r="R117" t="s">
        <v>74</v>
      </c>
      <c r="S117" t="s">
        <v>74</v>
      </c>
      <c r="T117" t="s">
        <v>74</v>
      </c>
      <c r="U117" t="s">
        <v>1949</v>
      </c>
      <c r="V117" t="s">
        <v>1950</v>
      </c>
      <c r="W117" t="s">
        <v>1951</v>
      </c>
      <c r="X117" t="s">
        <v>1952</v>
      </c>
      <c r="Y117" t="s">
        <v>1953</v>
      </c>
      <c r="Z117" t="s">
        <v>1954</v>
      </c>
      <c r="AA117" t="s">
        <v>1955</v>
      </c>
      <c r="AB117" t="s">
        <v>1956</v>
      </c>
      <c r="AC117" t="s">
        <v>74</v>
      </c>
      <c r="AD117" t="s">
        <v>74</v>
      </c>
      <c r="AE117" t="s">
        <v>74</v>
      </c>
      <c r="AF117" t="s">
        <v>74</v>
      </c>
      <c r="AG117">
        <v>120</v>
      </c>
      <c r="AH117">
        <v>3</v>
      </c>
      <c r="AI117">
        <v>3</v>
      </c>
      <c r="AJ117">
        <v>0</v>
      </c>
      <c r="AK117">
        <v>6</v>
      </c>
      <c r="AL117" t="s">
        <v>1927</v>
      </c>
      <c r="AM117" t="s">
        <v>1928</v>
      </c>
      <c r="AN117" t="s">
        <v>1929</v>
      </c>
      <c r="AO117" t="s">
        <v>74</v>
      </c>
      <c r="AP117" t="s">
        <v>74</v>
      </c>
      <c r="AQ117" t="s">
        <v>1930</v>
      </c>
      <c r="AR117" t="s">
        <v>74</v>
      </c>
      <c r="AS117" t="s">
        <v>74</v>
      </c>
      <c r="AT117" t="s">
        <v>74</v>
      </c>
      <c r="AU117">
        <v>2007</v>
      </c>
      <c r="AV117" t="s">
        <v>74</v>
      </c>
      <c r="AW117" t="s">
        <v>74</v>
      </c>
      <c r="AX117" t="s">
        <v>74</v>
      </c>
      <c r="AY117" t="s">
        <v>74</v>
      </c>
      <c r="AZ117" t="s">
        <v>74</v>
      </c>
      <c r="BA117" t="s">
        <v>74</v>
      </c>
      <c r="BB117">
        <v>389</v>
      </c>
      <c r="BC117">
        <v>407</v>
      </c>
      <c r="BD117" t="s">
        <v>74</v>
      </c>
      <c r="BE117" t="s">
        <v>74</v>
      </c>
      <c r="BF117" t="s">
        <v>74</v>
      </c>
      <c r="BG117" t="s">
        <v>74</v>
      </c>
      <c r="BH117" t="s">
        <v>74</v>
      </c>
      <c r="BI117">
        <v>19</v>
      </c>
      <c r="BJ117" t="s">
        <v>1931</v>
      </c>
      <c r="BK117" t="s">
        <v>238</v>
      </c>
      <c r="BL117" t="s">
        <v>1931</v>
      </c>
      <c r="BM117" t="s">
        <v>1932</v>
      </c>
      <c r="BN117" t="s">
        <v>74</v>
      </c>
      <c r="BO117" t="s">
        <v>74</v>
      </c>
      <c r="BP117" t="s">
        <v>74</v>
      </c>
      <c r="BQ117" t="s">
        <v>74</v>
      </c>
      <c r="BR117" t="s">
        <v>100</v>
      </c>
      <c r="BS117" t="s">
        <v>1957</v>
      </c>
      <c r="BT117" t="str">
        <f>HYPERLINK("https%3A%2F%2Fwww.webofscience.com%2Fwos%2Fwoscc%2Ffull-record%2FWOS:000280735300017","View Full Record in Web of Science")</f>
        <v>View Full Record in Web of Science</v>
      </c>
    </row>
    <row r="118" spans="1:72" x14ac:dyDescent="0.15">
      <c r="A118" t="s">
        <v>213</v>
      </c>
      <c r="B118" t="s">
        <v>1958</v>
      </c>
      <c r="C118" t="s">
        <v>74</v>
      </c>
      <c r="D118" t="s">
        <v>1918</v>
      </c>
      <c r="E118" t="s">
        <v>74</v>
      </c>
      <c r="F118" t="s">
        <v>1959</v>
      </c>
      <c r="G118" t="s">
        <v>74</v>
      </c>
      <c r="H118" t="s">
        <v>74</v>
      </c>
      <c r="I118" t="s">
        <v>1960</v>
      </c>
      <c r="J118" t="s">
        <v>1921</v>
      </c>
      <c r="K118" t="s">
        <v>74</v>
      </c>
      <c r="L118" t="s">
        <v>74</v>
      </c>
      <c r="M118" t="s">
        <v>78</v>
      </c>
      <c r="N118" t="s">
        <v>219</v>
      </c>
      <c r="O118" t="s">
        <v>74</v>
      </c>
      <c r="P118" t="s">
        <v>74</v>
      </c>
      <c r="Q118" t="s">
        <v>74</v>
      </c>
      <c r="R118" t="s">
        <v>74</v>
      </c>
      <c r="S118" t="s">
        <v>74</v>
      </c>
      <c r="T118" t="s">
        <v>74</v>
      </c>
      <c r="U118" t="s">
        <v>1961</v>
      </c>
      <c r="V118" t="s">
        <v>1962</v>
      </c>
      <c r="W118" t="s">
        <v>1963</v>
      </c>
      <c r="X118" t="s">
        <v>1964</v>
      </c>
      <c r="Y118" t="s">
        <v>1965</v>
      </c>
      <c r="Z118" t="s">
        <v>1966</v>
      </c>
      <c r="AA118" t="s">
        <v>1967</v>
      </c>
      <c r="AB118" t="s">
        <v>1968</v>
      </c>
      <c r="AC118" t="s">
        <v>74</v>
      </c>
      <c r="AD118" t="s">
        <v>74</v>
      </c>
      <c r="AE118" t="s">
        <v>74</v>
      </c>
      <c r="AF118" t="s">
        <v>74</v>
      </c>
      <c r="AG118">
        <v>98</v>
      </c>
      <c r="AH118">
        <v>30</v>
      </c>
      <c r="AI118">
        <v>32</v>
      </c>
      <c r="AJ118">
        <v>0</v>
      </c>
      <c r="AK118">
        <v>8</v>
      </c>
      <c r="AL118" t="s">
        <v>1927</v>
      </c>
      <c r="AM118" t="s">
        <v>1928</v>
      </c>
      <c r="AN118" t="s">
        <v>1929</v>
      </c>
      <c r="AO118" t="s">
        <v>74</v>
      </c>
      <c r="AP118" t="s">
        <v>74</v>
      </c>
      <c r="AQ118" t="s">
        <v>1930</v>
      </c>
      <c r="AR118" t="s">
        <v>74</v>
      </c>
      <c r="AS118" t="s">
        <v>74</v>
      </c>
      <c r="AT118" t="s">
        <v>74</v>
      </c>
      <c r="AU118">
        <v>2007</v>
      </c>
      <c r="AV118" t="s">
        <v>74</v>
      </c>
      <c r="AW118" t="s">
        <v>74</v>
      </c>
      <c r="AX118" t="s">
        <v>74</v>
      </c>
      <c r="AY118" t="s">
        <v>74</v>
      </c>
      <c r="AZ118" t="s">
        <v>74</v>
      </c>
      <c r="BA118" t="s">
        <v>74</v>
      </c>
      <c r="BB118">
        <v>409</v>
      </c>
      <c r="BC118">
        <v>425</v>
      </c>
      <c r="BD118" t="s">
        <v>74</v>
      </c>
      <c r="BE118" t="s">
        <v>74</v>
      </c>
      <c r="BF118" t="s">
        <v>74</v>
      </c>
      <c r="BG118" t="s">
        <v>74</v>
      </c>
      <c r="BH118" t="s">
        <v>74</v>
      </c>
      <c r="BI118">
        <v>17</v>
      </c>
      <c r="BJ118" t="s">
        <v>1931</v>
      </c>
      <c r="BK118" t="s">
        <v>238</v>
      </c>
      <c r="BL118" t="s">
        <v>1931</v>
      </c>
      <c r="BM118" t="s">
        <v>1932</v>
      </c>
      <c r="BN118" t="s">
        <v>74</v>
      </c>
      <c r="BO118" t="s">
        <v>74</v>
      </c>
      <c r="BP118" t="s">
        <v>74</v>
      </c>
      <c r="BQ118" t="s">
        <v>74</v>
      </c>
      <c r="BR118" t="s">
        <v>100</v>
      </c>
      <c r="BS118" t="s">
        <v>1969</v>
      </c>
      <c r="BT118" t="str">
        <f>HYPERLINK("https%3A%2F%2Fwww.webofscience.com%2Fwos%2Fwoscc%2Ffull-record%2FWOS:000280735300018","View Full Record in Web of Science")</f>
        <v>View Full Record in Web of Science</v>
      </c>
    </row>
    <row r="119" spans="1:72" x14ac:dyDescent="0.15">
      <c r="A119" t="s">
        <v>213</v>
      </c>
      <c r="B119" t="s">
        <v>1970</v>
      </c>
      <c r="C119" t="s">
        <v>74</v>
      </c>
      <c r="D119" t="s">
        <v>1918</v>
      </c>
      <c r="E119" t="s">
        <v>74</v>
      </c>
      <c r="F119" t="s">
        <v>1971</v>
      </c>
      <c r="G119" t="s">
        <v>74</v>
      </c>
      <c r="H119" t="s">
        <v>74</v>
      </c>
      <c r="I119" t="s">
        <v>1972</v>
      </c>
      <c r="J119" t="s">
        <v>1921</v>
      </c>
      <c r="K119" t="s">
        <v>74</v>
      </c>
      <c r="L119" t="s">
        <v>74</v>
      </c>
      <c r="M119" t="s">
        <v>78</v>
      </c>
      <c r="N119" t="s">
        <v>219</v>
      </c>
      <c r="O119" t="s">
        <v>74</v>
      </c>
      <c r="P119" t="s">
        <v>74</v>
      </c>
      <c r="Q119" t="s">
        <v>74</v>
      </c>
      <c r="R119" t="s">
        <v>74</v>
      </c>
      <c r="S119" t="s">
        <v>74</v>
      </c>
      <c r="T119" t="s">
        <v>74</v>
      </c>
      <c r="U119" t="s">
        <v>1973</v>
      </c>
      <c r="V119" t="s">
        <v>1974</v>
      </c>
      <c r="W119" t="s">
        <v>1975</v>
      </c>
      <c r="X119" t="s">
        <v>1976</v>
      </c>
      <c r="Y119" t="s">
        <v>1977</v>
      </c>
      <c r="Z119" t="s">
        <v>1978</v>
      </c>
      <c r="AA119" t="s">
        <v>1979</v>
      </c>
      <c r="AB119" t="s">
        <v>1980</v>
      </c>
      <c r="AC119" t="s">
        <v>74</v>
      </c>
      <c r="AD119" t="s">
        <v>74</v>
      </c>
      <c r="AE119" t="s">
        <v>74</v>
      </c>
      <c r="AF119" t="s">
        <v>74</v>
      </c>
      <c r="AG119">
        <v>90</v>
      </c>
      <c r="AH119">
        <v>7</v>
      </c>
      <c r="AI119">
        <v>8</v>
      </c>
      <c r="AJ119">
        <v>0</v>
      </c>
      <c r="AK119">
        <v>0</v>
      </c>
      <c r="AL119" t="s">
        <v>1927</v>
      </c>
      <c r="AM119" t="s">
        <v>1928</v>
      </c>
      <c r="AN119" t="s">
        <v>1929</v>
      </c>
      <c r="AO119" t="s">
        <v>74</v>
      </c>
      <c r="AP119" t="s">
        <v>74</v>
      </c>
      <c r="AQ119" t="s">
        <v>1930</v>
      </c>
      <c r="AR119" t="s">
        <v>74</v>
      </c>
      <c r="AS119" t="s">
        <v>74</v>
      </c>
      <c r="AT119" t="s">
        <v>74</v>
      </c>
      <c r="AU119">
        <v>2007</v>
      </c>
      <c r="AV119" t="s">
        <v>74</v>
      </c>
      <c r="AW119" t="s">
        <v>74</v>
      </c>
      <c r="AX119" t="s">
        <v>74</v>
      </c>
      <c r="AY119" t="s">
        <v>74</v>
      </c>
      <c r="AZ119" t="s">
        <v>74</v>
      </c>
      <c r="BA119" t="s">
        <v>74</v>
      </c>
      <c r="BB119">
        <v>443</v>
      </c>
      <c r="BC119">
        <v>457</v>
      </c>
      <c r="BD119" t="s">
        <v>74</v>
      </c>
      <c r="BE119" t="s">
        <v>74</v>
      </c>
      <c r="BF119" t="s">
        <v>74</v>
      </c>
      <c r="BG119" t="s">
        <v>74</v>
      </c>
      <c r="BH119" t="s">
        <v>74</v>
      </c>
      <c r="BI119">
        <v>15</v>
      </c>
      <c r="BJ119" t="s">
        <v>1931</v>
      </c>
      <c r="BK119" t="s">
        <v>238</v>
      </c>
      <c r="BL119" t="s">
        <v>1931</v>
      </c>
      <c r="BM119" t="s">
        <v>1932</v>
      </c>
      <c r="BN119" t="s">
        <v>74</v>
      </c>
      <c r="BO119" t="s">
        <v>74</v>
      </c>
      <c r="BP119" t="s">
        <v>74</v>
      </c>
      <c r="BQ119" t="s">
        <v>74</v>
      </c>
      <c r="BR119" t="s">
        <v>100</v>
      </c>
      <c r="BS119" t="s">
        <v>1981</v>
      </c>
      <c r="BT119" t="str">
        <f>HYPERLINK("https%3A%2F%2Fwww.webofscience.com%2Fwos%2Fwoscc%2Ffull-record%2FWOS:000280735300020","View Full Record in Web of Science")</f>
        <v>View Full Record in Web of Science</v>
      </c>
    </row>
    <row r="120" spans="1:72" x14ac:dyDescent="0.15">
      <c r="A120" t="s">
        <v>213</v>
      </c>
      <c r="B120" t="s">
        <v>1982</v>
      </c>
      <c r="C120" t="s">
        <v>74</v>
      </c>
      <c r="D120" t="s">
        <v>1918</v>
      </c>
      <c r="E120" t="s">
        <v>74</v>
      </c>
      <c r="F120" t="s">
        <v>1983</v>
      </c>
      <c r="G120" t="s">
        <v>74</v>
      </c>
      <c r="H120" t="s">
        <v>74</v>
      </c>
      <c r="I120" t="s">
        <v>1984</v>
      </c>
      <c r="J120" t="s">
        <v>1921</v>
      </c>
      <c r="K120" t="s">
        <v>74</v>
      </c>
      <c r="L120" t="s">
        <v>74</v>
      </c>
      <c r="M120" t="s">
        <v>78</v>
      </c>
      <c r="N120" t="s">
        <v>219</v>
      </c>
      <c r="O120" t="s">
        <v>74</v>
      </c>
      <c r="P120" t="s">
        <v>74</v>
      </c>
      <c r="Q120" t="s">
        <v>74</v>
      </c>
      <c r="R120" t="s">
        <v>74</v>
      </c>
      <c r="S120" t="s">
        <v>74</v>
      </c>
      <c r="T120" t="s">
        <v>74</v>
      </c>
      <c r="U120" t="s">
        <v>1985</v>
      </c>
      <c r="V120" t="s">
        <v>1986</v>
      </c>
      <c r="W120" t="s">
        <v>1987</v>
      </c>
      <c r="X120" t="s">
        <v>1988</v>
      </c>
      <c r="Y120" t="s">
        <v>1989</v>
      </c>
      <c r="Z120" t="s">
        <v>1990</v>
      </c>
      <c r="AA120" t="s">
        <v>1991</v>
      </c>
      <c r="AB120" t="s">
        <v>1992</v>
      </c>
      <c r="AC120" t="s">
        <v>74</v>
      </c>
      <c r="AD120" t="s">
        <v>74</v>
      </c>
      <c r="AE120" t="s">
        <v>74</v>
      </c>
      <c r="AF120" t="s">
        <v>74</v>
      </c>
      <c r="AG120">
        <v>100</v>
      </c>
      <c r="AH120">
        <v>54</v>
      </c>
      <c r="AI120">
        <v>58</v>
      </c>
      <c r="AJ120">
        <v>0</v>
      </c>
      <c r="AK120">
        <v>7</v>
      </c>
      <c r="AL120" t="s">
        <v>1927</v>
      </c>
      <c r="AM120" t="s">
        <v>1928</v>
      </c>
      <c r="AN120" t="s">
        <v>1929</v>
      </c>
      <c r="AO120" t="s">
        <v>74</v>
      </c>
      <c r="AP120" t="s">
        <v>74</v>
      </c>
      <c r="AQ120" t="s">
        <v>1930</v>
      </c>
      <c r="AR120" t="s">
        <v>74</v>
      </c>
      <c r="AS120" t="s">
        <v>74</v>
      </c>
      <c r="AT120" t="s">
        <v>74</v>
      </c>
      <c r="AU120">
        <v>2007</v>
      </c>
      <c r="AV120" t="s">
        <v>74</v>
      </c>
      <c r="AW120" t="s">
        <v>74</v>
      </c>
      <c r="AX120" t="s">
        <v>74</v>
      </c>
      <c r="AY120" t="s">
        <v>74</v>
      </c>
      <c r="AZ120" t="s">
        <v>74</v>
      </c>
      <c r="BA120" t="s">
        <v>74</v>
      </c>
      <c r="BB120">
        <v>481</v>
      </c>
      <c r="BC120">
        <v>502</v>
      </c>
      <c r="BD120" t="s">
        <v>74</v>
      </c>
      <c r="BE120" t="s">
        <v>74</v>
      </c>
      <c r="BF120" t="s">
        <v>74</v>
      </c>
      <c r="BG120" t="s">
        <v>74</v>
      </c>
      <c r="BH120" t="s">
        <v>74</v>
      </c>
      <c r="BI120">
        <v>22</v>
      </c>
      <c r="BJ120" t="s">
        <v>1931</v>
      </c>
      <c r="BK120" t="s">
        <v>238</v>
      </c>
      <c r="BL120" t="s">
        <v>1931</v>
      </c>
      <c r="BM120" t="s">
        <v>1932</v>
      </c>
      <c r="BN120" t="s">
        <v>74</v>
      </c>
      <c r="BO120" t="s">
        <v>74</v>
      </c>
      <c r="BP120" t="s">
        <v>74</v>
      </c>
      <c r="BQ120" t="s">
        <v>74</v>
      </c>
      <c r="BR120" t="s">
        <v>100</v>
      </c>
      <c r="BS120" t="s">
        <v>1993</v>
      </c>
      <c r="BT120" t="str">
        <f>HYPERLINK("https%3A%2F%2Fwww.webofscience.com%2Fwos%2Fwoscc%2Ffull-record%2FWOS:000280735300022","View Full Record in Web of Science")</f>
        <v>View Full Record in Web of Science</v>
      </c>
    </row>
    <row r="121" spans="1:72" x14ac:dyDescent="0.15">
      <c r="A121" t="s">
        <v>213</v>
      </c>
      <c r="B121" t="s">
        <v>1994</v>
      </c>
      <c r="C121" t="s">
        <v>74</v>
      </c>
      <c r="D121" t="s">
        <v>1918</v>
      </c>
      <c r="E121" t="s">
        <v>74</v>
      </c>
      <c r="F121" t="s">
        <v>1995</v>
      </c>
      <c r="G121" t="s">
        <v>74</v>
      </c>
      <c r="H121" t="s">
        <v>74</v>
      </c>
      <c r="I121" t="s">
        <v>1996</v>
      </c>
      <c r="J121" t="s">
        <v>1921</v>
      </c>
      <c r="K121" t="s">
        <v>74</v>
      </c>
      <c r="L121" t="s">
        <v>74</v>
      </c>
      <c r="M121" t="s">
        <v>78</v>
      </c>
      <c r="N121" t="s">
        <v>219</v>
      </c>
      <c r="O121" t="s">
        <v>74</v>
      </c>
      <c r="P121" t="s">
        <v>74</v>
      </c>
      <c r="Q121" t="s">
        <v>74</v>
      </c>
      <c r="R121" t="s">
        <v>74</v>
      </c>
      <c r="S121" t="s">
        <v>74</v>
      </c>
      <c r="T121" t="s">
        <v>74</v>
      </c>
      <c r="U121" t="s">
        <v>1997</v>
      </c>
      <c r="V121" t="s">
        <v>1998</v>
      </c>
      <c r="W121" t="s">
        <v>1999</v>
      </c>
      <c r="X121" t="s">
        <v>2000</v>
      </c>
      <c r="Y121" t="s">
        <v>2001</v>
      </c>
      <c r="Z121" t="s">
        <v>2002</v>
      </c>
      <c r="AA121" t="s">
        <v>2003</v>
      </c>
      <c r="AB121" t="s">
        <v>2004</v>
      </c>
      <c r="AC121" t="s">
        <v>74</v>
      </c>
      <c r="AD121" t="s">
        <v>74</v>
      </c>
      <c r="AE121" t="s">
        <v>74</v>
      </c>
      <c r="AF121" t="s">
        <v>74</v>
      </c>
      <c r="AG121">
        <v>104</v>
      </c>
      <c r="AH121">
        <v>41</v>
      </c>
      <c r="AI121">
        <v>49</v>
      </c>
      <c r="AJ121">
        <v>0</v>
      </c>
      <c r="AK121">
        <v>7</v>
      </c>
      <c r="AL121" t="s">
        <v>1927</v>
      </c>
      <c r="AM121" t="s">
        <v>1928</v>
      </c>
      <c r="AN121" t="s">
        <v>1929</v>
      </c>
      <c r="AO121" t="s">
        <v>74</v>
      </c>
      <c r="AP121" t="s">
        <v>74</v>
      </c>
      <c r="AQ121" t="s">
        <v>1930</v>
      </c>
      <c r="AR121" t="s">
        <v>74</v>
      </c>
      <c r="AS121" t="s">
        <v>74</v>
      </c>
      <c r="AT121" t="s">
        <v>74</v>
      </c>
      <c r="AU121">
        <v>2007</v>
      </c>
      <c r="AV121" t="s">
        <v>74</v>
      </c>
      <c r="AW121" t="s">
        <v>74</v>
      </c>
      <c r="AX121" t="s">
        <v>74</v>
      </c>
      <c r="AY121" t="s">
        <v>74</v>
      </c>
      <c r="AZ121" t="s">
        <v>74</v>
      </c>
      <c r="BA121" t="s">
        <v>74</v>
      </c>
      <c r="BB121">
        <v>503</v>
      </c>
      <c r="BC121">
        <v>516</v>
      </c>
      <c r="BD121" t="s">
        <v>74</v>
      </c>
      <c r="BE121" t="s">
        <v>74</v>
      </c>
      <c r="BF121" t="s">
        <v>74</v>
      </c>
      <c r="BG121" t="s">
        <v>74</v>
      </c>
      <c r="BH121" t="s">
        <v>74</v>
      </c>
      <c r="BI121">
        <v>14</v>
      </c>
      <c r="BJ121" t="s">
        <v>1931</v>
      </c>
      <c r="BK121" t="s">
        <v>238</v>
      </c>
      <c r="BL121" t="s">
        <v>1931</v>
      </c>
      <c r="BM121" t="s">
        <v>1932</v>
      </c>
      <c r="BN121" t="s">
        <v>74</v>
      </c>
      <c r="BO121" t="s">
        <v>74</v>
      </c>
      <c r="BP121" t="s">
        <v>74</v>
      </c>
      <c r="BQ121" t="s">
        <v>74</v>
      </c>
      <c r="BR121" t="s">
        <v>100</v>
      </c>
      <c r="BS121" t="s">
        <v>2005</v>
      </c>
      <c r="BT121" t="str">
        <f>HYPERLINK("https%3A%2F%2Fwww.webofscience.com%2Fwos%2Fwoscc%2Ffull-record%2FWOS:000280735300023","View Full Record in Web of Science")</f>
        <v>View Full Record in Web of Science</v>
      </c>
    </row>
    <row r="122" spans="1:72" x14ac:dyDescent="0.15">
      <c r="A122" t="s">
        <v>213</v>
      </c>
      <c r="B122" t="s">
        <v>2006</v>
      </c>
      <c r="C122" t="s">
        <v>74</v>
      </c>
      <c r="D122" t="s">
        <v>1918</v>
      </c>
      <c r="E122" t="s">
        <v>74</v>
      </c>
      <c r="F122" t="s">
        <v>2007</v>
      </c>
      <c r="G122" t="s">
        <v>74</v>
      </c>
      <c r="H122" t="s">
        <v>74</v>
      </c>
      <c r="I122" t="s">
        <v>2008</v>
      </c>
      <c r="J122" t="s">
        <v>1921</v>
      </c>
      <c r="K122" t="s">
        <v>74</v>
      </c>
      <c r="L122" t="s">
        <v>74</v>
      </c>
      <c r="M122" t="s">
        <v>78</v>
      </c>
      <c r="N122" t="s">
        <v>219</v>
      </c>
      <c r="O122" t="s">
        <v>74</v>
      </c>
      <c r="P122" t="s">
        <v>74</v>
      </c>
      <c r="Q122" t="s">
        <v>74</v>
      </c>
      <c r="R122" t="s">
        <v>74</v>
      </c>
      <c r="S122" t="s">
        <v>74</v>
      </c>
      <c r="T122" t="s">
        <v>74</v>
      </c>
      <c r="U122" t="s">
        <v>2009</v>
      </c>
      <c r="V122" t="s">
        <v>2010</v>
      </c>
      <c r="W122" t="s">
        <v>2011</v>
      </c>
      <c r="X122" t="s">
        <v>2012</v>
      </c>
      <c r="Y122" t="s">
        <v>2013</v>
      </c>
      <c r="Z122" t="s">
        <v>2014</v>
      </c>
      <c r="AA122" t="s">
        <v>2015</v>
      </c>
      <c r="AB122" t="s">
        <v>2016</v>
      </c>
      <c r="AC122" t="s">
        <v>74</v>
      </c>
      <c r="AD122" t="s">
        <v>74</v>
      </c>
      <c r="AE122" t="s">
        <v>74</v>
      </c>
      <c r="AF122" t="s">
        <v>74</v>
      </c>
      <c r="AG122">
        <v>162</v>
      </c>
      <c r="AH122">
        <v>71</v>
      </c>
      <c r="AI122">
        <v>78</v>
      </c>
      <c r="AJ122">
        <v>0</v>
      </c>
      <c r="AK122">
        <v>7</v>
      </c>
      <c r="AL122" t="s">
        <v>1927</v>
      </c>
      <c r="AM122" t="s">
        <v>1928</v>
      </c>
      <c r="AN122" t="s">
        <v>1929</v>
      </c>
      <c r="AO122" t="s">
        <v>74</v>
      </c>
      <c r="AP122" t="s">
        <v>74</v>
      </c>
      <c r="AQ122" t="s">
        <v>1930</v>
      </c>
      <c r="AR122" t="s">
        <v>74</v>
      </c>
      <c r="AS122" t="s">
        <v>74</v>
      </c>
      <c r="AT122" t="s">
        <v>74</v>
      </c>
      <c r="AU122">
        <v>2007</v>
      </c>
      <c r="AV122" t="s">
        <v>74</v>
      </c>
      <c r="AW122" t="s">
        <v>74</v>
      </c>
      <c r="AX122" t="s">
        <v>74</v>
      </c>
      <c r="AY122" t="s">
        <v>74</v>
      </c>
      <c r="AZ122" t="s">
        <v>74</v>
      </c>
      <c r="BA122" t="s">
        <v>74</v>
      </c>
      <c r="BB122">
        <v>517</v>
      </c>
      <c r="BC122">
        <v>538</v>
      </c>
      <c r="BD122" t="s">
        <v>74</v>
      </c>
      <c r="BE122" t="s">
        <v>74</v>
      </c>
      <c r="BF122" t="s">
        <v>74</v>
      </c>
      <c r="BG122" t="s">
        <v>74</v>
      </c>
      <c r="BH122" t="s">
        <v>74</v>
      </c>
      <c r="BI122">
        <v>22</v>
      </c>
      <c r="BJ122" t="s">
        <v>1931</v>
      </c>
      <c r="BK122" t="s">
        <v>238</v>
      </c>
      <c r="BL122" t="s">
        <v>1931</v>
      </c>
      <c r="BM122" t="s">
        <v>1932</v>
      </c>
      <c r="BN122" t="s">
        <v>74</v>
      </c>
      <c r="BO122" t="s">
        <v>74</v>
      </c>
      <c r="BP122" t="s">
        <v>74</v>
      </c>
      <c r="BQ122" t="s">
        <v>74</v>
      </c>
      <c r="BR122" t="s">
        <v>100</v>
      </c>
      <c r="BS122" t="s">
        <v>2017</v>
      </c>
      <c r="BT122" t="str">
        <f>HYPERLINK("https%3A%2F%2Fwww.webofscience.com%2Fwos%2Fwoscc%2Ffull-record%2FWOS:000280735300024","View Full Record in Web of Science")</f>
        <v>View Full Record in Web of Science</v>
      </c>
    </row>
    <row r="123" spans="1:72" x14ac:dyDescent="0.15">
      <c r="A123" t="s">
        <v>241</v>
      </c>
      <c r="B123" t="s">
        <v>2018</v>
      </c>
      <c r="C123" t="s">
        <v>74</v>
      </c>
      <c r="D123" t="s">
        <v>2019</v>
      </c>
      <c r="E123" t="s">
        <v>74</v>
      </c>
      <c r="F123" t="s">
        <v>2020</v>
      </c>
      <c r="G123" t="s">
        <v>74</v>
      </c>
      <c r="H123" t="s">
        <v>74</v>
      </c>
      <c r="I123" t="s">
        <v>2021</v>
      </c>
      <c r="J123" t="s">
        <v>2022</v>
      </c>
      <c r="K123" t="s">
        <v>2023</v>
      </c>
      <c r="L123" t="s">
        <v>74</v>
      </c>
      <c r="M123" t="s">
        <v>78</v>
      </c>
      <c r="N123" t="s">
        <v>248</v>
      </c>
      <c r="O123" t="s">
        <v>2024</v>
      </c>
      <c r="P123" t="s">
        <v>2025</v>
      </c>
      <c r="Q123" t="s">
        <v>2026</v>
      </c>
      <c r="R123" t="s">
        <v>74</v>
      </c>
      <c r="S123" t="s">
        <v>74</v>
      </c>
      <c r="T123" t="s">
        <v>2027</v>
      </c>
      <c r="U123" t="s">
        <v>2028</v>
      </c>
      <c r="V123" t="s">
        <v>2029</v>
      </c>
      <c r="W123" t="s">
        <v>2030</v>
      </c>
      <c r="X123" t="s">
        <v>2031</v>
      </c>
      <c r="Y123" t="s">
        <v>2032</v>
      </c>
      <c r="Z123" t="s">
        <v>74</v>
      </c>
      <c r="AA123" t="s">
        <v>2033</v>
      </c>
      <c r="AB123" t="s">
        <v>74</v>
      </c>
      <c r="AC123" t="s">
        <v>2034</v>
      </c>
      <c r="AD123" t="s">
        <v>2035</v>
      </c>
      <c r="AE123" t="s">
        <v>2036</v>
      </c>
      <c r="AF123" t="s">
        <v>74</v>
      </c>
      <c r="AG123">
        <v>20</v>
      </c>
      <c r="AH123">
        <v>17</v>
      </c>
      <c r="AI123">
        <v>22</v>
      </c>
      <c r="AJ123">
        <v>0</v>
      </c>
      <c r="AK123">
        <v>6</v>
      </c>
      <c r="AL123" t="s">
        <v>2037</v>
      </c>
      <c r="AM123" t="s">
        <v>2038</v>
      </c>
      <c r="AN123" t="s">
        <v>2039</v>
      </c>
      <c r="AO123" t="s">
        <v>2040</v>
      </c>
      <c r="AP123" t="s">
        <v>74</v>
      </c>
      <c r="AQ123" t="s">
        <v>2041</v>
      </c>
      <c r="AR123" t="s">
        <v>2042</v>
      </c>
      <c r="AS123" t="s">
        <v>74</v>
      </c>
      <c r="AT123" t="s">
        <v>74</v>
      </c>
      <c r="AU123">
        <v>2007</v>
      </c>
      <c r="AV123">
        <v>130</v>
      </c>
      <c r="AW123" t="s">
        <v>74</v>
      </c>
      <c r="AX123" t="s">
        <v>74</v>
      </c>
      <c r="AY123" t="s">
        <v>74</v>
      </c>
      <c r="AZ123" t="s">
        <v>74</v>
      </c>
      <c r="BA123" t="s">
        <v>74</v>
      </c>
      <c r="BB123">
        <v>31</v>
      </c>
      <c r="BC123" t="s">
        <v>617</v>
      </c>
      <c r="BD123" t="s">
        <v>74</v>
      </c>
      <c r="BE123" t="s">
        <v>74</v>
      </c>
      <c r="BF123" t="s">
        <v>74</v>
      </c>
      <c r="BG123" t="s">
        <v>74</v>
      </c>
      <c r="BH123" t="s">
        <v>74</v>
      </c>
      <c r="BI123">
        <v>2</v>
      </c>
      <c r="BJ123" t="s">
        <v>2043</v>
      </c>
      <c r="BK123" t="s">
        <v>266</v>
      </c>
      <c r="BL123" t="s">
        <v>2043</v>
      </c>
      <c r="BM123" t="s">
        <v>2044</v>
      </c>
      <c r="BN123" t="s">
        <v>74</v>
      </c>
      <c r="BO123" t="s">
        <v>74</v>
      </c>
      <c r="BP123" t="s">
        <v>74</v>
      </c>
      <c r="BQ123" t="s">
        <v>74</v>
      </c>
      <c r="BR123" t="s">
        <v>100</v>
      </c>
      <c r="BS123" t="s">
        <v>2045</v>
      </c>
      <c r="BT123" t="str">
        <f>HYPERLINK("https%3A%2F%2Fwww.webofscience.com%2Fwos%2Fwoscc%2Ffull-record%2FWOS:000245419400005","View Full Record in Web of Science")</f>
        <v>View Full Record in Web of Science</v>
      </c>
    </row>
    <row r="124" spans="1:72" x14ac:dyDescent="0.15">
      <c r="A124" t="s">
        <v>241</v>
      </c>
      <c r="B124" t="s">
        <v>2046</v>
      </c>
      <c r="C124" t="s">
        <v>74</v>
      </c>
      <c r="D124" t="s">
        <v>2019</v>
      </c>
      <c r="E124" t="s">
        <v>74</v>
      </c>
      <c r="F124" t="s">
        <v>2047</v>
      </c>
      <c r="G124" t="s">
        <v>74</v>
      </c>
      <c r="H124" t="s">
        <v>74</v>
      </c>
      <c r="I124" t="s">
        <v>2048</v>
      </c>
      <c r="J124" t="s">
        <v>2049</v>
      </c>
      <c r="K124" t="s">
        <v>2050</v>
      </c>
      <c r="L124" t="s">
        <v>74</v>
      </c>
      <c r="M124" t="s">
        <v>78</v>
      </c>
      <c r="N124" t="s">
        <v>248</v>
      </c>
      <c r="O124" t="s">
        <v>2024</v>
      </c>
      <c r="P124" t="s">
        <v>2025</v>
      </c>
      <c r="Q124" t="s">
        <v>2026</v>
      </c>
      <c r="R124" t="s">
        <v>74</v>
      </c>
      <c r="S124" t="s">
        <v>74</v>
      </c>
      <c r="T124" t="s">
        <v>2051</v>
      </c>
      <c r="U124" t="s">
        <v>74</v>
      </c>
      <c r="V124" t="s">
        <v>2052</v>
      </c>
      <c r="W124" t="s">
        <v>2053</v>
      </c>
      <c r="X124" t="s">
        <v>2054</v>
      </c>
      <c r="Y124" t="s">
        <v>2055</v>
      </c>
      <c r="Z124" t="s">
        <v>74</v>
      </c>
      <c r="AA124" t="s">
        <v>74</v>
      </c>
      <c r="AB124" t="s">
        <v>74</v>
      </c>
      <c r="AC124" t="s">
        <v>74</v>
      </c>
      <c r="AD124" t="s">
        <v>74</v>
      </c>
      <c r="AE124" t="s">
        <v>74</v>
      </c>
      <c r="AF124" t="s">
        <v>74</v>
      </c>
      <c r="AG124">
        <v>9</v>
      </c>
      <c r="AH124">
        <v>0</v>
      </c>
      <c r="AI124">
        <v>0</v>
      </c>
      <c r="AJ124">
        <v>0</v>
      </c>
      <c r="AK124">
        <v>1</v>
      </c>
      <c r="AL124" t="s">
        <v>2037</v>
      </c>
      <c r="AM124" t="s">
        <v>2038</v>
      </c>
      <c r="AN124" t="s">
        <v>2039</v>
      </c>
      <c r="AO124" t="s">
        <v>2040</v>
      </c>
      <c r="AP124" t="s">
        <v>74</v>
      </c>
      <c r="AQ124" t="s">
        <v>2041</v>
      </c>
      <c r="AR124" t="s">
        <v>2042</v>
      </c>
      <c r="AS124" t="s">
        <v>74</v>
      </c>
      <c r="AT124" t="s">
        <v>74</v>
      </c>
      <c r="AU124">
        <v>2007</v>
      </c>
      <c r="AV124">
        <v>130</v>
      </c>
      <c r="AW124" t="s">
        <v>74</v>
      </c>
      <c r="AX124" t="s">
        <v>74</v>
      </c>
      <c r="AY124" t="s">
        <v>74</v>
      </c>
      <c r="AZ124" t="s">
        <v>74</v>
      </c>
      <c r="BA124" t="s">
        <v>74</v>
      </c>
      <c r="BB124">
        <v>39</v>
      </c>
      <c r="BC124">
        <v>46</v>
      </c>
      <c r="BD124" t="s">
        <v>74</v>
      </c>
      <c r="BE124" t="s">
        <v>74</v>
      </c>
      <c r="BF124" t="s">
        <v>74</v>
      </c>
      <c r="BG124" t="s">
        <v>74</v>
      </c>
      <c r="BH124" t="s">
        <v>74</v>
      </c>
      <c r="BI124">
        <v>8</v>
      </c>
      <c r="BJ124" t="s">
        <v>2043</v>
      </c>
      <c r="BK124" t="s">
        <v>266</v>
      </c>
      <c r="BL124" t="s">
        <v>2043</v>
      </c>
      <c r="BM124" t="s">
        <v>2044</v>
      </c>
      <c r="BN124" t="s">
        <v>74</v>
      </c>
      <c r="BO124" t="s">
        <v>74</v>
      </c>
      <c r="BP124" t="s">
        <v>74</v>
      </c>
      <c r="BQ124" t="s">
        <v>74</v>
      </c>
      <c r="BR124" t="s">
        <v>100</v>
      </c>
      <c r="BS124" t="s">
        <v>2056</v>
      </c>
      <c r="BT124" t="str">
        <f>HYPERLINK("https%3A%2F%2Fwww.webofscience.com%2Fwos%2Fwoscc%2Ffull-record%2FWOS:000245419400006","View Full Record in Web of Science")</f>
        <v>View Full Record in Web of Science</v>
      </c>
    </row>
    <row r="125" spans="1:72" x14ac:dyDescent="0.15">
      <c r="A125" t="s">
        <v>241</v>
      </c>
      <c r="B125" t="s">
        <v>2057</v>
      </c>
      <c r="C125" t="s">
        <v>74</v>
      </c>
      <c r="D125" t="s">
        <v>2019</v>
      </c>
      <c r="E125" t="s">
        <v>74</v>
      </c>
      <c r="F125" t="s">
        <v>2058</v>
      </c>
      <c r="G125" t="s">
        <v>74</v>
      </c>
      <c r="H125" t="s">
        <v>74</v>
      </c>
      <c r="I125" t="s">
        <v>2059</v>
      </c>
      <c r="J125" t="s">
        <v>2022</v>
      </c>
      <c r="K125" t="s">
        <v>2023</v>
      </c>
      <c r="L125" t="s">
        <v>74</v>
      </c>
      <c r="M125" t="s">
        <v>78</v>
      </c>
      <c r="N125" t="s">
        <v>248</v>
      </c>
      <c r="O125" t="s">
        <v>2024</v>
      </c>
      <c r="P125" t="s">
        <v>2025</v>
      </c>
      <c r="Q125" t="s">
        <v>2026</v>
      </c>
      <c r="R125" t="s">
        <v>74</v>
      </c>
      <c r="S125" t="s">
        <v>74</v>
      </c>
      <c r="T125" t="s">
        <v>2060</v>
      </c>
      <c r="U125" t="s">
        <v>2061</v>
      </c>
      <c r="V125" t="s">
        <v>2062</v>
      </c>
      <c r="W125" t="s">
        <v>2063</v>
      </c>
      <c r="X125" t="s">
        <v>2064</v>
      </c>
      <c r="Y125" t="s">
        <v>2065</v>
      </c>
      <c r="Z125" t="s">
        <v>74</v>
      </c>
      <c r="AA125" t="s">
        <v>74</v>
      </c>
      <c r="AB125" t="s">
        <v>74</v>
      </c>
      <c r="AC125" t="s">
        <v>74</v>
      </c>
      <c r="AD125" t="s">
        <v>74</v>
      </c>
      <c r="AE125" t="s">
        <v>74</v>
      </c>
      <c r="AF125" t="s">
        <v>74</v>
      </c>
      <c r="AG125">
        <v>11</v>
      </c>
      <c r="AH125">
        <v>3</v>
      </c>
      <c r="AI125">
        <v>3</v>
      </c>
      <c r="AJ125">
        <v>0</v>
      </c>
      <c r="AK125">
        <v>2</v>
      </c>
      <c r="AL125" t="s">
        <v>2037</v>
      </c>
      <c r="AM125" t="s">
        <v>2038</v>
      </c>
      <c r="AN125" t="s">
        <v>2039</v>
      </c>
      <c r="AO125" t="s">
        <v>2040</v>
      </c>
      <c r="AP125" t="s">
        <v>74</v>
      </c>
      <c r="AQ125" t="s">
        <v>2041</v>
      </c>
      <c r="AR125" t="s">
        <v>2042</v>
      </c>
      <c r="AS125" t="s">
        <v>74</v>
      </c>
      <c r="AT125" t="s">
        <v>74</v>
      </c>
      <c r="AU125">
        <v>2007</v>
      </c>
      <c r="AV125">
        <v>130</v>
      </c>
      <c r="AW125" t="s">
        <v>74</v>
      </c>
      <c r="AX125" t="s">
        <v>74</v>
      </c>
      <c r="AY125" t="s">
        <v>74</v>
      </c>
      <c r="AZ125" t="s">
        <v>74</v>
      </c>
      <c r="BA125" t="s">
        <v>74</v>
      </c>
      <c r="BB125">
        <v>88</v>
      </c>
      <c r="BC125" t="s">
        <v>617</v>
      </c>
      <c r="BD125" t="s">
        <v>74</v>
      </c>
      <c r="BE125" t="s">
        <v>74</v>
      </c>
      <c r="BF125" t="s">
        <v>74</v>
      </c>
      <c r="BG125" t="s">
        <v>74</v>
      </c>
      <c r="BH125" t="s">
        <v>74</v>
      </c>
      <c r="BI125">
        <v>2</v>
      </c>
      <c r="BJ125" t="s">
        <v>2043</v>
      </c>
      <c r="BK125" t="s">
        <v>266</v>
      </c>
      <c r="BL125" t="s">
        <v>2043</v>
      </c>
      <c r="BM125" t="s">
        <v>2044</v>
      </c>
      <c r="BN125" t="s">
        <v>74</v>
      </c>
      <c r="BO125" t="s">
        <v>74</v>
      </c>
      <c r="BP125" t="s">
        <v>74</v>
      </c>
      <c r="BQ125" t="s">
        <v>74</v>
      </c>
      <c r="BR125" t="s">
        <v>100</v>
      </c>
      <c r="BS125" t="s">
        <v>2066</v>
      </c>
      <c r="BT125" t="str">
        <f>HYPERLINK("https%3A%2F%2Fwww.webofscience.com%2Fwos%2Fwoscc%2Ffull-record%2FWOS:000245419400016","View Full Record in Web of Science")</f>
        <v>View Full Record in Web of Science</v>
      </c>
    </row>
    <row r="126" spans="1:72" x14ac:dyDescent="0.15">
      <c r="A126" t="s">
        <v>241</v>
      </c>
      <c r="B126" t="s">
        <v>2067</v>
      </c>
      <c r="C126" t="s">
        <v>74</v>
      </c>
      <c r="D126" t="s">
        <v>2019</v>
      </c>
      <c r="E126" t="s">
        <v>74</v>
      </c>
      <c r="F126" t="s">
        <v>2068</v>
      </c>
      <c r="G126" t="s">
        <v>74</v>
      </c>
      <c r="H126" t="s">
        <v>74</v>
      </c>
      <c r="I126" t="s">
        <v>2069</v>
      </c>
      <c r="J126" t="s">
        <v>2022</v>
      </c>
      <c r="K126" t="s">
        <v>2023</v>
      </c>
      <c r="L126" t="s">
        <v>74</v>
      </c>
      <c r="M126" t="s">
        <v>78</v>
      </c>
      <c r="N126" t="s">
        <v>248</v>
      </c>
      <c r="O126" t="s">
        <v>2024</v>
      </c>
      <c r="P126" t="s">
        <v>2025</v>
      </c>
      <c r="Q126" t="s">
        <v>2026</v>
      </c>
      <c r="R126" t="s">
        <v>74</v>
      </c>
      <c r="S126" t="s">
        <v>74</v>
      </c>
      <c r="T126" t="s">
        <v>2070</v>
      </c>
      <c r="U126" t="s">
        <v>2071</v>
      </c>
      <c r="V126" t="s">
        <v>2072</v>
      </c>
      <c r="W126" t="s">
        <v>2073</v>
      </c>
      <c r="X126" t="s">
        <v>2074</v>
      </c>
      <c r="Y126" t="s">
        <v>2075</v>
      </c>
      <c r="Z126" t="s">
        <v>2076</v>
      </c>
      <c r="AA126" t="s">
        <v>2077</v>
      </c>
      <c r="AB126" t="s">
        <v>2078</v>
      </c>
      <c r="AC126" t="s">
        <v>2079</v>
      </c>
      <c r="AD126" t="s">
        <v>2080</v>
      </c>
      <c r="AE126" t="s">
        <v>2081</v>
      </c>
      <c r="AF126" t="s">
        <v>74</v>
      </c>
      <c r="AG126">
        <v>36</v>
      </c>
      <c r="AH126">
        <v>2</v>
      </c>
      <c r="AI126">
        <v>2</v>
      </c>
      <c r="AJ126">
        <v>0</v>
      </c>
      <c r="AK126">
        <v>0</v>
      </c>
      <c r="AL126" t="s">
        <v>2037</v>
      </c>
      <c r="AM126" t="s">
        <v>2038</v>
      </c>
      <c r="AN126" t="s">
        <v>2039</v>
      </c>
      <c r="AO126" t="s">
        <v>2040</v>
      </c>
      <c r="AP126" t="s">
        <v>74</v>
      </c>
      <c r="AQ126" t="s">
        <v>2041</v>
      </c>
      <c r="AR126" t="s">
        <v>2042</v>
      </c>
      <c r="AS126" t="s">
        <v>74</v>
      </c>
      <c r="AT126" t="s">
        <v>74</v>
      </c>
      <c r="AU126">
        <v>2007</v>
      </c>
      <c r="AV126">
        <v>130</v>
      </c>
      <c r="AW126" t="s">
        <v>74</v>
      </c>
      <c r="AX126" t="s">
        <v>74</v>
      </c>
      <c r="AY126" t="s">
        <v>74</v>
      </c>
      <c r="AZ126" t="s">
        <v>74</v>
      </c>
      <c r="BA126" t="s">
        <v>74</v>
      </c>
      <c r="BB126">
        <v>94</v>
      </c>
      <c r="BC126" t="s">
        <v>617</v>
      </c>
      <c r="BD126" t="s">
        <v>74</v>
      </c>
      <c r="BE126" t="s">
        <v>74</v>
      </c>
      <c r="BF126" t="s">
        <v>74</v>
      </c>
      <c r="BG126" t="s">
        <v>74</v>
      </c>
      <c r="BH126" t="s">
        <v>74</v>
      </c>
      <c r="BI126">
        <v>3</v>
      </c>
      <c r="BJ126" t="s">
        <v>2043</v>
      </c>
      <c r="BK126" t="s">
        <v>266</v>
      </c>
      <c r="BL126" t="s">
        <v>2043</v>
      </c>
      <c r="BM126" t="s">
        <v>2044</v>
      </c>
      <c r="BN126" t="s">
        <v>74</v>
      </c>
      <c r="BO126" t="s">
        <v>74</v>
      </c>
      <c r="BP126" t="s">
        <v>74</v>
      </c>
      <c r="BQ126" t="s">
        <v>74</v>
      </c>
      <c r="BR126" t="s">
        <v>100</v>
      </c>
      <c r="BS126" t="s">
        <v>2082</v>
      </c>
      <c r="BT126" t="str">
        <f>HYPERLINK("https%3A%2F%2Fwww.webofscience.com%2Fwos%2Fwoscc%2Ffull-record%2FWOS:000245419400017","View Full Record in Web of Science")</f>
        <v>View Full Record in Web of Science</v>
      </c>
    </row>
    <row r="127" spans="1:72" x14ac:dyDescent="0.15">
      <c r="A127" t="s">
        <v>241</v>
      </c>
      <c r="B127" t="s">
        <v>2083</v>
      </c>
      <c r="C127" t="s">
        <v>74</v>
      </c>
      <c r="D127" t="s">
        <v>2019</v>
      </c>
      <c r="E127" t="s">
        <v>74</v>
      </c>
      <c r="F127" t="s">
        <v>2084</v>
      </c>
      <c r="G127" t="s">
        <v>74</v>
      </c>
      <c r="H127" t="s">
        <v>74</v>
      </c>
      <c r="I127" t="s">
        <v>2085</v>
      </c>
      <c r="J127" t="s">
        <v>2022</v>
      </c>
      <c r="K127" t="s">
        <v>2023</v>
      </c>
      <c r="L127" t="s">
        <v>74</v>
      </c>
      <c r="M127" t="s">
        <v>78</v>
      </c>
      <c r="N127" t="s">
        <v>248</v>
      </c>
      <c r="O127" t="s">
        <v>2024</v>
      </c>
      <c r="P127" t="s">
        <v>2025</v>
      </c>
      <c r="Q127" t="s">
        <v>2026</v>
      </c>
      <c r="R127" t="s">
        <v>74</v>
      </c>
      <c r="S127" t="s">
        <v>74</v>
      </c>
      <c r="T127" t="s">
        <v>2086</v>
      </c>
      <c r="U127" t="s">
        <v>2087</v>
      </c>
      <c r="V127" t="s">
        <v>2088</v>
      </c>
      <c r="W127" t="s">
        <v>2089</v>
      </c>
      <c r="X127" t="s">
        <v>2090</v>
      </c>
      <c r="Y127" t="s">
        <v>2091</v>
      </c>
      <c r="Z127" t="s">
        <v>74</v>
      </c>
      <c r="AA127" t="s">
        <v>2092</v>
      </c>
      <c r="AB127" t="s">
        <v>2093</v>
      </c>
      <c r="AC127" t="s">
        <v>2094</v>
      </c>
      <c r="AD127" t="s">
        <v>2095</v>
      </c>
      <c r="AE127" t="s">
        <v>2096</v>
      </c>
      <c r="AF127" t="s">
        <v>74</v>
      </c>
      <c r="AG127">
        <v>14</v>
      </c>
      <c r="AH127">
        <v>19</v>
      </c>
      <c r="AI127">
        <v>21</v>
      </c>
      <c r="AJ127">
        <v>0</v>
      </c>
      <c r="AK127">
        <v>3</v>
      </c>
      <c r="AL127" t="s">
        <v>2037</v>
      </c>
      <c r="AM127" t="s">
        <v>2038</v>
      </c>
      <c r="AN127" t="s">
        <v>2039</v>
      </c>
      <c r="AO127" t="s">
        <v>2040</v>
      </c>
      <c r="AP127" t="s">
        <v>74</v>
      </c>
      <c r="AQ127" t="s">
        <v>2041</v>
      </c>
      <c r="AR127" t="s">
        <v>2042</v>
      </c>
      <c r="AS127" t="s">
        <v>74</v>
      </c>
      <c r="AT127" t="s">
        <v>74</v>
      </c>
      <c r="AU127">
        <v>2007</v>
      </c>
      <c r="AV127">
        <v>130</v>
      </c>
      <c r="AW127" t="s">
        <v>74</v>
      </c>
      <c r="AX127" t="s">
        <v>74</v>
      </c>
      <c r="AY127" t="s">
        <v>74</v>
      </c>
      <c r="AZ127" t="s">
        <v>74</v>
      </c>
      <c r="BA127" t="s">
        <v>74</v>
      </c>
      <c r="BB127">
        <v>837</v>
      </c>
      <c r="BC127" t="s">
        <v>617</v>
      </c>
      <c r="BD127" t="s">
        <v>74</v>
      </c>
      <c r="BE127" t="s">
        <v>74</v>
      </c>
      <c r="BF127" t="s">
        <v>74</v>
      </c>
      <c r="BG127" t="s">
        <v>74</v>
      </c>
      <c r="BH127" t="s">
        <v>74</v>
      </c>
      <c r="BI127">
        <v>3</v>
      </c>
      <c r="BJ127" t="s">
        <v>2043</v>
      </c>
      <c r="BK127" t="s">
        <v>266</v>
      </c>
      <c r="BL127" t="s">
        <v>2043</v>
      </c>
      <c r="BM127" t="s">
        <v>2044</v>
      </c>
      <c r="BN127" t="s">
        <v>74</v>
      </c>
      <c r="BO127" t="s">
        <v>74</v>
      </c>
      <c r="BP127" t="s">
        <v>74</v>
      </c>
      <c r="BQ127" t="s">
        <v>74</v>
      </c>
      <c r="BR127" t="s">
        <v>100</v>
      </c>
      <c r="BS127" t="s">
        <v>2097</v>
      </c>
      <c r="BT127" t="str">
        <f>HYPERLINK("https%3A%2F%2Fwww.webofscience.com%2Fwos%2Fwoscc%2Ffull-record%2FWOS:000245419400118","View Full Record in Web of Science")</f>
        <v>View Full Record in Web of Science</v>
      </c>
    </row>
    <row r="128" spans="1:72" x14ac:dyDescent="0.15">
      <c r="A128" t="s">
        <v>241</v>
      </c>
      <c r="B128" t="s">
        <v>2098</v>
      </c>
      <c r="C128" t="s">
        <v>74</v>
      </c>
      <c r="D128" t="s">
        <v>2019</v>
      </c>
      <c r="E128" t="s">
        <v>74</v>
      </c>
      <c r="F128" t="s">
        <v>2099</v>
      </c>
      <c r="G128" t="s">
        <v>74</v>
      </c>
      <c r="H128" t="s">
        <v>74</v>
      </c>
      <c r="I128" t="s">
        <v>2100</v>
      </c>
      <c r="J128" t="s">
        <v>2022</v>
      </c>
      <c r="K128" t="s">
        <v>2023</v>
      </c>
      <c r="L128" t="s">
        <v>74</v>
      </c>
      <c r="M128" t="s">
        <v>78</v>
      </c>
      <c r="N128" t="s">
        <v>248</v>
      </c>
      <c r="O128" t="s">
        <v>2024</v>
      </c>
      <c r="P128" t="s">
        <v>2025</v>
      </c>
      <c r="Q128" t="s">
        <v>2026</v>
      </c>
      <c r="R128" t="s">
        <v>74</v>
      </c>
      <c r="S128" t="s">
        <v>74</v>
      </c>
      <c r="T128" t="s">
        <v>2101</v>
      </c>
      <c r="U128" t="s">
        <v>74</v>
      </c>
      <c r="V128" t="s">
        <v>2102</v>
      </c>
      <c r="W128" t="s">
        <v>2103</v>
      </c>
      <c r="X128" t="s">
        <v>2104</v>
      </c>
      <c r="Y128" t="s">
        <v>2105</v>
      </c>
      <c r="Z128" t="s">
        <v>74</v>
      </c>
      <c r="AA128" t="s">
        <v>2106</v>
      </c>
      <c r="AB128" t="s">
        <v>2107</v>
      </c>
      <c r="AC128" t="s">
        <v>74</v>
      </c>
      <c r="AD128" t="s">
        <v>74</v>
      </c>
      <c r="AE128" t="s">
        <v>74</v>
      </c>
      <c r="AF128" t="s">
        <v>74</v>
      </c>
      <c r="AG128">
        <v>8</v>
      </c>
      <c r="AH128">
        <v>1</v>
      </c>
      <c r="AI128">
        <v>1</v>
      </c>
      <c r="AJ128">
        <v>0</v>
      </c>
      <c r="AK128">
        <v>0</v>
      </c>
      <c r="AL128" t="s">
        <v>2037</v>
      </c>
      <c r="AM128" t="s">
        <v>2038</v>
      </c>
      <c r="AN128" t="s">
        <v>2039</v>
      </c>
      <c r="AO128" t="s">
        <v>2040</v>
      </c>
      <c r="AP128" t="s">
        <v>74</v>
      </c>
      <c r="AQ128" t="s">
        <v>2041</v>
      </c>
      <c r="AR128" t="s">
        <v>2042</v>
      </c>
      <c r="AS128" t="s">
        <v>74</v>
      </c>
      <c r="AT128" t="s">
        <v>74</v>
      </c>
      <c r="AU128">
        <v>2007</v>
      </c>
      <c r="AV128">
        <v>130</v>
      </c>
      <c r="AW128" t="s">
        <v>74</v>
      </c>
      <c r="AX128" t="s">
        <v>74</v>
      </c>
      <c r="AY128" t="s">
        <v>74</v>
      </c>
      <c r="AZ128" t="s">
        <v>74</v>
      </c>
      <c r="BA128" t="s">
        <v>74</v>
      </c>
      <c r="BB128">
        <v>867</v>
      </c>
      <c r="BC128" t="s">
        <v>617</v>
      </c>
      <c r="BD128" t="s">
        <v>74</v>
      </c>
      <c r="BE128" t="s">
        <v>74</v>
      </c>
      <c r="BF128" t="s">
        <v>74</v>
      </c>
      <c r="BG128" t="s">
        <v>74</v>
      </c>
      <c r="BH128" t="s">
        <v>74</v>
      </c>
      <c r="BI128">
        <v>2</v>
      </c>
      <c r="BJ128" t="s">
        <v>2043</v>
      </c>
      <c r="BK128" t="s">
        <v>266</v>
      </c>
      <c r="BL128" t="s">
        <v>2043</v>
      </c>
      <c r="BM128" t="s">
        <v>2044</v>
      </c>
      <c r="BN128" t="s">
        <v>74</v>
      </c>
      <c r="BO128" t="s">
        <v>74</v>
      </c>
      <c r="BP128" t="s">
        <v>74</v>
      </c>
      <c r="BQ128" t="s">
        <v>74</v>
      </c>
      <c r="BR128" t="s">
        <v>100</v>
      </c>
      <c r="BS128" t="s">
        <v>2108</v>
      </c>
      <c r="BT128" t="str">
        <f>HYPERLINK("https%3A%2F%2Fwww.webofscience.com%2Fwos%2Fwoscc%2Ffull-record%2FWOS:000245419400122","View Full Record in Web of Science")</f>
        <v>View Full Record in Web of Science</v>
      </c>
    </row>
    <row r="129" spans="1:72" x14ac:dyDescent="0.15">
      <c r="A129" t="s">
        <v>241</v>
      </c>
      <c r="B129" t="s">
        <v>2109</v>
      </c>
      <c r="C129" t="s">
        <v>74</v>
      </c>
      <c r="D129" t="s">
        <v>2110</v>
      </c>
      <c r="E129" t="s">
        <v>74</v>
      </c>
      <c r="F129" t="s">
        <v>2111</v>
      </c>
      <c r="G129" t="s">
        <v>74</v>
      </c>
      <c r="H129" t="s">
        <v>74</v>
      </c>
      <c r="I129" t="s">
        <v>2112</v>
      </c>
      <c r="J129" t="s">
        <v>2113</v>
      </c>
      <c r="K129" t="s">
        <v>2114</v>
      </c>
      <c r="L129" t="s">
        <v>74</v>
      </c>
      <c r="M129" t="s">
        <v>78</v>
      </c>
      <c r="N129" t="s">
        <v>248</v>
      </c>
      <c r="O129" t="s">
        <v>2115</v>
      </c>
      <c r="P129" t="s">
        <v>2116</v>
      </c>
      <c r="Q129" t="s">
        <v>2117</v>
      </c>
      <c r="R129" t="s">
        <v>74</v>
      </c>
      <c r="S129" t="s">
        <v>74</v>
      </c>
      <c r="T129" t="s">
        <v>74</v>
      </c>
      <c r="U129" t="s">
        <v>74</v>
      </c>
      <c r="V129" t="s">
        <v>2118</v>
      </c>
      <c r="W129" t="s">
        <v>2119</v>
      </c>
      <c r="X129" t="s">
        <v>2120</v>
      </c>
      <c r="Y129" t="s">
        <v>2121</v>
      </c>
      <c r="Z129" t="s">
        <v>74</v>
      </c>
      <c r="AA129" t="s">
        <v>2122</v>
      </c>
      <c r="AB129" t="s">
        <v>2123</v>
      </c>
      <c r="AC129" t="s">
        <v>74</v>
      </c>
      <c r="AD129" t="s">
        <v>74</v>
      </c>
      <c r="AE129" t="s">
        <v>74</v>
      </c>
      <c r="AF129" t="s">
        <v>74</v>
      </c>
      <c r="AG129">
        <v>6</v>
      </c>
      <c r="AH129">
        <v>0</v>
      </c>
      <c r="AI129">
        <v>0</v>
      </c>
      <c r="AJ129">
        <v>0</v>
      </c>
      <c r="AK129">
        <v>1</v>
      </c>
      <c r="AL129" t="s">
        <v>2124</v>
      </c>
      <c r="AM129" t="s">
        <v>2125</v>
      </c>
      <c r="AN129" t="s">
        <v>2126</v>
      </c>
      <c r="AO129" t="s">
        <v>2127</v>
      </c>
      <c r="AP129" t="s">
        <v>74</v>
      </c>
      <c r="AQ129" t="s">
        <v>2128</v>
      </c>
      <c r="AR129" t="s">
        <v>2129</v>
      </c>
      <c r="AS129" t="s">
        <v>74</v>
      </c>
      <c r="AT129" t="s">
        <v>74</v>
      </c>
      <c r="AU129">
        <v>2007</v>
      </c>
      <c r="AV129">
        <v>6677</v>
      </c>
      <c r="AW129" t="s">
        <v>74</v>
      </c>
      <c r="AX129" t="s">
        <v>74</v>
      </c>
      <c r="AY129" t="s">
        <v>74</v>
      </c>
      <c r="AZ129" t="s">
        <v>74</v>
      </c>
      <c r="BA129" t="s">
        <v>74</v>
      </c>
      <c r="BB129">
        <v>67711</v>
      </c>
      <c r="BC129">
        <v>67711</v>
      </c>
      <c r="BD129" t="s">
        <v>74</v>
      </c>
      <c r="BE129" t="s">
        <v>2130</v>
      </c>
      <c r="BF129" t="str">
        <f>HYPERLINK("http://dx.doi.org/10.1117/12.732455","http://dx.doi.org/10.1117/12.732455")</f>
        <v>http://dx.doi.org/10.1117/12.732455</v>
      </c>
      <c r="BG129" t="s">
        <v>74</v>
      </c>
      <c r="BH129" t="s">
        <v>74</v>
      </c>
      <c r="BI129">
        <v>9</v>
      </c>
      <c r="BJ129" t="s">
        <v>2131</v>
      </c>
      <c r="BK129" t="s">
        <v>266</v>
      </c>
      <c r="BL129" t="s">
        <v>2132</v>
      </c>
      <c r="BM129" t="s">
        <v>2133</v>
      </c>
      <c r="BN129" t="s">
        <v>74</v>
      </c>
      <c r="BO129" t="s">
        <v>74</v>
      </c>
      <c r="BP129" t="s">
        <v>74</v>
      </c>
      <c r="BQ129" t="s">
        <v>74</v>
      </c>
      <c r="BR129" t="s">
        <v>100</v>
      </c>
      <c r="BS129" t="s">
        <v>2134</v>
      </c>
      <c r="BT129" t="str">
        <f>HYPERLINK("https%3A%2F%2Fwww.webofscience.com%2Fwos%2Fwoscc%2Ffull-record%2FWOS:000251496500036","View Full Record in Web of Science")</f>
        <v>View Full Record in Web of Science</v>
      </c>
    </row>
    <row r="130" spans="1:72" x14ac:dyDescent="0.15">
      <c r="A130" t="s">
        <v>72</v>
      </c>
      <c r="B130" t="s">
        <v>2135</v>
      </c>
      <c r="C130" t="s">
        <v>74</v>
      </c>
      <c r="D130" t="s">
        <v>74</v>
      </c>
      <c r="E130" t="s">
        <v>74</v>
      </c>
      <c r="F130" t="s">
        <v>2136</v>
      </c>
      <c r="G130" t="s">
        <v>74</v>
      </c>
      <c r="H130" t="s">
        <v>74</v>
      </c>
      <c r="I130" t="s">
        <v>2137</v>
      </c>
      <c r="J130" t="s">
        <v>2138</v>
      </c>
      <c r="K130" t="s">
        <v>74</v>
      </c>
      <c r="L130" t="s">
        <v>74</v>
      </c>
      <c r="M130" t="s">
        <v>78</v>
      </c>
      <c r="N130" t="s">
        <v>2139</v>
      </c>
      <c r="O130" t="s">
        <v>74</v>
      </c>
      <c r="P130" t="s">
        <v>74</v>
      </c>
      <c r="Q130" t="s">
        <v>74</v>
      </c>
      <c r="R130" t="s">
        <v>74</v>
      </c>
      <c r="S130" t="s">
        <v>74</v>
      </c>
      <c r="T130" t="s">
        <v>2140</v>
      </c>
      <c r="U130" t="s">
        <v>2141</v>
      </c>
      <c r="V130" t="s">
        <v>2142</v>
      </c>
      <c r="W130" t="s">
        <v>2143</v>
      </c>
      <c r="X130" t="s">
        <v>2144</v>
      </c>
      <c r="Y130" t="s">
        <v>2145</v>
      </c>
      <c r="Z130" t="s">
        <v>2146</v>
      </c>
      <c r="AA130" t="s">
        <v>74</v>
      </c>
      <c r="AB130" t="s">
        <v>74</v>
      </c>
      <c r="AC130" t="s">
        <v>74</v>
      </c>
      <c r="AD130" t="s">
        <v>74</v>
      </c>
      <c r="AE130" t="s">
        <v>74</v>
      </c>
      <c r="AF130" t="s">
        <v>74</v>
      </c>
      <c r="AG130">
        <v>38</v>
      </c>
      <c r="AH130">
        <v>5</v>
      </c>
      <c r="AI130">
        <v>7</v>
      </c>
      <c r="AJ130">
        <v>0</v>
      </c>
      <c r="AK130">
        <v>12</v>
      </c>
      <c r="AL130" t="s">
        <v>2147</v>
      </c>
      <c r="AM130" t="s">
        <v>2148</v>
      </c>
      <c r="AN130" t="s">
        <v>2149</v>
      </c>
      <c r="AO130" t="s">
        <v>2150</v>
      </c>
      <c r="AP130" t="s">
        <v>74</v>
      </c>
      <c r="AQ130" t="s">
        <v>74</v>
      </c>
      <c r="AR130" t="s">
        <v>2151</v>
      </c>
      <c r="AS130" t="s">
        <v>2152</v>
      </c>
      <c r="AT130" t="s">
        <v>74</v>
      </c>
      <c r="AU130">
        <v>2007</v>
      </c>
      <c r="AV130">
        <v>59</v>
      </c>
      <c r="AW130">
        <v>9</v>
      </c>
      <c r="AX130" t="s">
        <v>74</v>
      </c>
      <c r="AY130" t="s">
        <v>74</v>
      </c>
      <c r="AZ130" t="s">
        <v>74</v>
      </c>
      <c r="BA130" t="s">
        <v>74</v>
      </c>
      <c r="BB130">
        <v>1061</v>
      </c>
      <c r="BC130">
        <v>1066</v>
      </c>
      <c r="BD130" t="s">
        <v>74</v>
      </c>
      <c r="BE130" t="s">
        <v>2153</v>
      </c>
      <c r="BF130" t="str">
        <f>HYPERLINK("http://dx.doi.org/10.1186/BF03352047","http://dx.doi.org/10.1186/BF03352047")</f>
        <v>http://dx.doi.org/10.1186/BF03352047</v>
      </c>
      <c r="BG130" t="s">
        <v>74</v>
      </c>
      <c r="BH130" t="s">
        <v>74</v>
      </c>
      <c r="BI130">
        <v>6</v>
      </c>
      <c r="BJ130" t="s">
        <v>685</v>
      </c>
      <c r="BK130" t="s">
        <v>97</v>
      </c>
      <c r="BL130" t="s">
        <v>642</v>
      </c>
      <c r="BM130" t="s">
        <v>2154</v>
      </c>
      <c r="BN130" t="s">
        <v>74</v>
      </c>
      <c r="BO130" t="s">
        <v>2155</v>
      </c>
      <c r="BP130" t="s">
        <v>74</v>
      </c>
      <c r="BQ130" t="s">
        <v>74</v>
      </c>
      <c r="BR130" t="s">
        <v>100</v>
      </c>
      <c r="BS130" t="s">
        <v>2156</v>
      </c>
      <c r="BT130" t="str">
        <f>HYPERLINK("https%3A%2F%2Fwww.webofscience.com%2Fwos%2Fwoscc%2Ffull-record%2FWOS:000250133900009","View Full Record in Web of Science")</f>
        <v>View Full Record in Web of Science</v>
      </c>
    </row>
    <row r="131" spans="1:72" x14ac:dyDescent="0.15">
      <c r="A131" t="s">
        <v>72</v>
      </c>
      <c r="B131" t="s">
        <v>2157</v>
      </c>
      <c r="C131" t="s">
        <v>74</v>
      </c>
      <c r="D131" t="s">
        <v>74</v>
      </c>
      <c r="E131" t="s">
        <v>74</v>
      </c>
      <c r="F131" t="s">
        <v>2158</v>
      </c>
      <c r="G131" t="s">
        <v>74</v>
      </c>
      <c r="H131" t="s">
        <v>74</v>
      </c>
      <c r="I131" t="s">
        <v>2159</v>
      </c>
      <c r="J131" t="s">
        <v>2138</v>
      </c>
      <c r="K131" t="s">
        <v>74</v>
      </c>
      <c r="L131" t="s">
        <v>74</v>
      </c>
      <c r="M131" t="s">
        <v>78</v>
      </c>
      <c r="N131" t="s">
        <v>79</v>
      </c>
      <c r="O131" t="s">
        <v>74</v>
      </c>
      <c r="P131" t="s">
        <v>74</v>
      </c>
      <c r="Q131" t="s">
        <v>74</v>
      </c>
      <c r="R131" t="s">
        <v>74</v>
      </c>
      <c r="S131" t="s">
        <v>74</v>
      </c>
      <c r="T131" t="s">
        <v>2160</v>
      </c>
      <c r="U131" t="s">
        <v>2161</v>
      </c>
      <c r="V131" t="s">
        <v>2162</v>
      </c>
      <c r="W131" t="s">
        <v>2163</v>
      </c>
      <c r="X131" t="s">
        <v>2164</v>
      </c>
      <c r="Y131" t="s">
        <v>2165</v>
      </c>
      <c r="Z131" t="s">
        <v>2166</v>
      </c>
      <c r="AA131" t="s">
        <v>74</v>
      </c>
      <c r="AB131" t="s">
        <v>74</v>
      </c>
      <c r="AC131" t="s">
        <v>74</v>
      </c>
      <c r="AD131" t="s">
        <v>74</v>
      </c>
      <c r="AE131" t="s">
        <v>74</v>
      </c>
      <c r="AF131" t="s">
        <v>74</v>
      </c>
      <c r="AG131">
        <v>11</v>
      </c>
      <c r="AH131">
        <v>12</v>
      </c>
      <c r="AI131">
        <v>12</v>
      </c>
      <c r="AJ131">
        <v>0</v>
      </c>
      <c r="AK131">
        <v>3</v>
      </c>
      <c r="AL131" t="s">
        <v>2147</v>
      </c>
      <c r="AM131" t="s">
        <v>2148</v>
      </c>
      <c r="AN131" t="s">
        <v>2149</v>
      </c>
      <c r="AO131" t="s">
        <v>2150</v>
      </c>
      <c r="AP131" t="s">
        <v>74</v>
      </c>
      <c r="AQ131" t="s">
        <v>74</v>
      </c>
      <c r="AR131" t="s">
        <v>2151</v>
      </c>
      <c r="AS131" t="s">
        <v>2152</v>
      </c>
      <c r="AT131" t="s">
        <v>74</v>
      </c>
      <c r="AU131">
        <v>2007</v>
      </c>
      <c r="AV131">
        <v>59</v>
      </c>
      <c r="AW131">
        <v>12</v>
      </c>
      <c r="AX131" t="s">
        <v>74</v>
      </c>
      <c r="AY131" t="s">
        <v>74</v>
      </c>
      <c r="AZ131" t="s">
        <v>74</v>
      </c>
      <c r="BA131" t="s">
        <v>74</v>
      </c>
      <c r="BB131" t="s">
        <v>2167</v>
      </c>
      <c r="BC131" t="s">
        <v>2168</v>
      </c>
      <c r="BD131" t="s">
        <v>74</v>
      </c>
      <c r="BE131" t="s">
        <v>2169</v>
      </c>
      <c r="BF131" t="str">
        <f>HYPERLINK("http://dx.doi.org/10.1186/BF03352024","http://dx.doi.org/10.1186/BF03352024")</f>
        <v>http://dx.doi.org/10.1186/BF03352024</v>
      </c>
      <c r="BG131" t="s">
        <v>74</v>
      </c>
      <c r="BH131" t="s">
        <v>74</v>
      </c>
      <c r="BI131">
        <v>4</v>
      </c>
      <c r="BJ131" t="s">
        <v>685</v>
      </c>
      <c r="BK131" t="s">
        <v>97</v>
      </c>
      <c r="BL131" t="s">
        <v>642</v>
      </c>
      <c r="BM131" t="s">
        <v>2170</v>
      </c>
      <c r="BN131" t="s">
        <v>74</v>
      </c>
      <c r="BO131" t="s">
        <v>2155</v>
      </c>
      <c r="BP131" t="s">
        <v>74</v>
      </c>
      <c r="BQ131" t="s">
        <v>74</v>
      </c>
      <c r="BR131" t="s">
        <v>100</v>
      </c>
      <c r="BS131" t="s">
        <v>2171</v>
      </c>
      <c r="BT131" t="str">
        <f>HYPERLINK("https%3A%2F%2Fwww.webofscience.com%2Fwos%2Fwoscc%2Ffull-record%2FWOS:000252654200010","View Full Record in Web of Science")</f>
        <v>View Full Record in Web of Science</v>
      </c>
    </row>
    <row r="132" spans="1:72" x14ac:dyDescent="0.15">
      <c r="A132" t="s">
        <v>888</v>
      </c>
      <c r="B132" t="s">
        <v>2172</v>
      </c>
      <c r="C132" t="s">
        <v>74</v>
      </c>
      <c r="D132" t="s">
        <v>2173</v>
      </c>
      <c r="E132" t="s">
        <v>74</v>
      </c>
      <c r="F132" t="s">
        <v>2174</v>
      </c>
      <c r="G132" t="s">
        <v>74</v>
      </c>
      <c r="H132" t="s">
        <v>74</v>
      </c>
      <c r="I132" t="s">
        <v>2175</v>
      </c>
      <c r="J132" t="s">
        <v>2176</v>
      </c>
      <c r="K132" t="s">
        <v>2177</v>
      </c>
      <c r="L132" t="s">
        <v>74</v>
      </c>
      <c r="M132" t="s">
        <v>78</v>
      </c>
      <c r="N132" t="s">
        <v>219</v>
      </c>
      <c r="O132" t="s">
        <v>74</v>
      </c>
      <c r="P132" t="s">
        <v>74</v>
      </c>
      <c r="Q132" t="s">
        <v>74</v>
      </c>
      <c r="R132" t="s">
        <v>74</v>
      </c>
      <c r="S132" t="s">
        <v>74</v>
      </c>
      <c r="T132" t="s">
        <v>74</v>
      </c>
      <c r="U132" t="s">
        <v>74</v>
      </c>
      <c r="V132" t="s">
        <v>74</v>
      </c>
      <c r="W132" t="s">
        <v>2178</v>
      </c>
      <c r="X132" t="s">
        <v>2179</v>
      </c>
      <c r="Y132" t="s">
        <v>2180</v>
      </c>
      <c r="Z132" t="s">
        <v>2181</v>
      </c>
      <c r="AA132" t="s">
        <v>2182</v>
      </c>
      <c r="AB132" t="s">
        <v>2183</v>
      </c>
      <c r="AC132" t="s">
        <v>74</v>
      </c>
      <c r="AD132" t="s">
        <v>74</v>
      </c>
      <c r="AE132" t="s">
        <v>74</v>
      </c>
      <c r="AF132" t="s">
        <v>74</v>
      </c>
      <c r="AG132">
        <v>0</v>
      </c>
      <c r="AH132">
        <v>41</v>
      </c>
      <c r="AI132">
        <v>48</v>
      </c>
      <c r="AJ132">
        <v>0</v>
      </c>
      <c r="AK132">
        <v>1</v>
      </c>
      <c r="AL132" t="s">
        <v>902</v>
      </c>
      <c r="AM132" t="s">
        <v>903</v>
      </c>
      <c r="AN132" t="s">
        <v>904</v>
      </c>
      <c r="AO132" t="s">
        <v>2184</v>
      </c>
      <c r="AP132" t="s">
        <v>74</v>
      </c>
      <c r="AQ132" t="s">
        <v>2185</v>
      </c>
      <c r="AR132" t="s">
        <v>2186</v>
      </c>
      <c r="AS132" t="s">
        <v>74</v>
      </c>
      <c r="AT132" t="s">
        <v>74</v>
      </c>
      <c r="AU132">
        <v>2007</v>
      </c>
      <c r="AV132">
        <v>15</v>
      </c>
      <c r="AW132" t="s">
        <v>74</v>
      </c>
      <c r="AX132" t="s">
        <v>74</v>
      </c>
      <c r="AY132" t="s">
        <v>74</v>
      </c>
      <c r="AZ132" t="s">
        <v>74</v>
      </c>
      <c r="BA132" t="s">
        <v>74</v>
      </c>
      <c r="BB132">
        <v>149</v>
      </c>
      <c r="BC132">
        <v>186</v>
      </c>
      <c r="BD132" t="s">
        <v>74</v>
      </c>
      <c r="BE132" t="s">
        <v>2187</v>
      </c>
      <c r="BF132" t="str">
        <f>HYPERLINK("http://dx.doi.org/10.1016/S0166-2635(07)15032-5","http://dx.doi.org/10.1016/S0166-2635(07)15032-5")</f>
        <v>http://dx.doi.org/10.1016/S0166-2635(07)15032-5</v>
      </c>
      <c r="BG132" t="s">
        <v>74</v>
      </c>
      <c r="BH132" t="s">
        <v>74</v>
      </c>
      <c r="BI132">
        <v>38</v>
      </c>
      <c r="BJ132" t="s">
        <v>642</v>
      </c>
      <c r="BK132" t="s">
        <v>238</v>
      </c>
      <c r="BL132" t="s">
        <v>642</v>
      </c>
      <c r="BM132" t="s">
        <v>2188</v>
      </c>
      <c r="BN132" t="s">
        <v>74</v>
      </c>
      <c r="BO132" t="s">
        <v>74</v>
      </c>
      <c r="BP132" t="s">
        <v>74</v>
      </c>
      <c r="BQ132" t="s">
        <v>74</v>
      </c>
      <c r="BR132" t="s">
        <v>100</v>
      </c>
      <c r="BS132" t="s">
        <v>2189</v>
      </c>
      <c r="BT132" t="str">
        <f>HYPERLINK("https%3A%2F%2Fwww.webofscience.com%2Fwos%2Fwoscc%2Ffull-record%2FWOS:000310707600011","View Full Record in Web of Science")</f>
        <v>View Full Record in Web of Science</v>
      </c>
    </row>
    <row r="133" spans="1:72" x14ac:dyDescent="0.15">
      <c r="A133" t="s">
        <v>888</v>
      </c>
      <c r="B133" t="s">
        <v>2190</v>
      </c>
      <c r="C133" t="s">
        <v>74</v>
      </c>
      <c r="D133" t="s">
        <v>2191</v>
      </c>
      <c r="E133" t="s">
        <v>74</v>
      </c>
      <c r="F133" t="s">
        <v>2192</v>
      </c>
      <c r="G133" t="s">
        <v>74</v>
      </c>
      <c r="H133" t="s">
        <v>2193</v>
      </c>
      <c r="I133" t="s">
        <v>2194</v>
      </c>
      <c r="J133" t="s">
        <v>2195</v>
      </c>
      <c r="K133" t="s">
        <v>2196</v>
      </c>
      <c r="L133" t="s">
        <v>74</v>
      </c>
      <c r="M133" t="s">
        <v>78</v>
      </c>
      <c r="N133" t="s">
        <v>219</v>
      </c>
      <c r="O133" t="s">
        <v>74</v>
      </c>
      <c r="P133" t="s">
        <v>74</v>
      </c>
      <c r="Q133" t="s">
        <v>74</v>
      </c>
      <c r="R133" t="s">
        <v>74</v>
      </c>
      <c r="S133" t="s">
        <v>74</v>
      </c>
      <c r="T133" t="s">
        <v>74</v>
      </c>
      <c r="U133" t="s">
        <v>2197</v>
      </c>
      <c r="V133" t="s">
        <v>2198</v>
      </c>
      <c r="W133" t="s">
        <v>2199</v>
      </c>
      <c r="X133" t="s">
        <v>2200</v>
      </c>
      <c r="Y133" t="s">
        <v>2201</v>
      </c>
      <c r="Z133" t="s">
        <v>2202</v>
      </c>
      <c r="AA133" t="s">
        <v>2203</v>
      </c>
      <c r="AB133" t="s">
        <v>2204</v>
      </c>
      <c r="AC133" t="s">
        <v>2205</v>
      </c>
      <c r="AD133" t="s">
        <v>2206</v>
      </c>
      <c r="AE133" t="s">
        <v>74</v>
      </c>
      <c r="AF133" t="s">
        <v>74</v>
      </c>
      <c r="AG133">
        <v>56</v>
      </c>
      <c r="AH133">
        <v>46</v>
      </c>
      <c r="AI133">
        <v>49</v>
      </c>
      <c r="AJ133">
        <v>0</v>
      </c>
      <c r="AK133">
        <v>1</v>
      </c>
      <c r="AL133" t="s">
        <v>1927</v>
      </c>
      <c r="AM133" t="s">
        <v>1928</v>
      </c>
      <c r="AN133" t="s">
        <v>1929</v>
      </c>
      <c r="AO133" t="s">
        <v>2207</v>
      </c>
      <c r="AP133" t="s">
        <v>74</v>
      </c>
      <c r="AQ133" t="s">
        <v>2208</v>
      </c>
      <c r="AR133" t="s">
        <v>2209</v>
      </c>
      <c r="AS133" t="s">
        <v>2210</v>
      </c>
      <c r="AT133" t="s">
        <v>74</v>
      </c>
      <c r="AU133">
        <v>2007</v>
      </c>
      <c r="AV133">
        <v>276</v>
      </c>
      <c r="AW133" t="s">
        <v>74</v>
      </c>
      <c r="AX133" t="s">
        <v>74</v>
      </c>
      <c r="AY133" t="s">
        <v>74</v>
      </c>
      <c r="AZ133" t="s">
        <v>74</v>
      </c>
      <c r="BA133" t="s">
        <v>74</v>
      </c>
      <c r="BB133">
        <v>95</v>
      </c>
      <c r="BC133">
        <v>110</v>
      </c>
      <c r="BD133" t="s">
        <v>74</v>
      </c>
      <c r="BE133" t="s">
        <v>2211</v>
      </c>
      <c r="BF133" t="str">
        <f>HYPERLINK("http://dx.doi.org/10.1144/GSL.SP.2007.276.01.05","http://dx.doi.org/10.1144/GSL.SP.2007.276.01.05")</f>
        <v>http://dx.doi.org/10.1144/GSL.SP.2007.276.01.05</v>
      </c>
      <c r="BG133" t="s">
        <v>74</v>
      </c>
      <c r="BH133" t="s">
        <v>74</v>
      </c>
      <c r="BI133">
        <v>16</v>
      </c>
      <c r="BJ133" t="s">
        <v>642</v>
      </c>
      <c r="BK133" t="s">
        <v>238</v>
      </c>
      <c r="BL133" t="s">
        <v>642</v>
      </c>
      <c r="BM133" t="s">
        <v>2212</v>
      </c>
      <c r="BN133" t="s">
        <v>74</v>
      </c>
      <c r="BO133" t="s">
        <v>74</v>
      </c>
      <c r="BP133" t="s">
        <v>74</v>
      </c>
      <c r="BQ133" t="s">
        <v>74</v>
      </c>
      <c r="BR133" t="s">
        <v>100</v>
      </c>
      <c r="BS133" t="s">
        <v>2213</v>
      </c>
      <c r="BT133" t="str">
        <f>HYPERLINK("https%3A%2F%2Fwww.webofscience.com%2Fwos%2Fwoscc%2Ffull-record%2FWOS:000268153200006","View Full Record in Web of Science")</f>
        <v>View Full Record in Web of Science</v>
      </c>
    </row>
    <row r="134" spans="1:72" x14ac:dyDescent="0.15">
      <c r="A134" t="s">
        <v>888</v>
      </c>
      <c r="B134" t="s">
        <v>2214</v>
      </c>
      <c r="C134" t="s">
        <v>74</v>
      </c>
      <c r="D134" t="s">
        <v>2191</v>
      </c>
      <c r="E134" t="s">
        <v>74</v>
      </c>
      <c r="F134" t="s">
        <v>2215</v>
      </c>
      <c r="G134" t="s">
        <v>74</v>
      </c>
      <c r="H134" t="s">
        <v>74</v>
      </c>
      <c r="I134" t="s">
        <v>2216</v>
      </c>
      <c r="J134" t="s">
        <v>2195</v>
      </c>
      <c r="K134" t="s">
        <v>2196</v>
      </c>
      <c r="L134" t="s">
        <v>74</v>
      </c>
      <c r="M134" t="s">
        <v>78</v>
      </c>
      <c r="N134" t="s">
        <v>219</v>
      </c>
      <c r="O134" t="s">
        <v>74</v>
      </c>
      <c r="P134" t="s">
        <v>74</v>
      </c>
      <c r="Q134" t="s">
        <v>74</v>
      </c>
      <c r="R134" t="s">
        <v>74</v>
      </c>
      <c r="S134" t="s">
        <v>74</v>
      </c>
      <c r="T134" t="s">
        <v>74</v>
      </c>
      <c r="U134" t="s">
        <v>2217</v>
      </c>
      <c r="V134" t="s">
        <v>2218</v>
      </c>
      <c r="W134" t="s">
        <v>2219</v>
      </c>
      <c r="X134" t="s">
        <v>2220</v>
      </c>
      <c r="Y134" t="s">
        <v>2221</v>
      </c>
      <c r="Z134" t="s">
        <v>2222</v>
      </c>
      <c r="AA134" t="s">
        <v>2223</v>
      </c>
      <c r="AB134" t="s">
        <v>2224</v>
      </c>
      <c r="AC134" t="s">
        <v>74</v>
      </c>
      <c r="AD134" t="s">
        <v>74</v>
      </c>
      <c r="AE134" t="s">
        <v>74</v>
      </c>
      <c r="AF134" t="s">
        <v>74</v>
      </c>
      <c r="AG134">
        <v>67</v>
      </c>
      <c r="AH134">
        <v>51</v>
      </c>
      <c r="AI134">
        <v>54</v>
      </c>
      <c r="AJ134">
        <v>0</v>
      </c>
      <c r="AK134">
        <v>4</v>
      </c>
      <c r="AL134" t="s">
        <v>1927</v>
      </c>
      <c r="AM134" t="s">
        <v>1928</v>
      </c>
      <c r="AN134" t="s">
        <v>1929</v>
      </c>
      <c r="AO134" t="s">
        <v>2207</v>
      </c>
      <c r="AP134" t="s">
        <v>74</v>
      </c>
      <c r="AQ134" t="s">
        <v>2208</v>
      </c>
      <c r="AR134" t="s">
        <v>2209</v>
      </c>
      <c r="AS134" t="s">
        <v>2210</v>
      </c>
      <c r="AT134" t="s">
        <v>74</v>
      </c>
      <c r="AU134">
        <v>2007</v>
      </c>
      <c r="AV134">
        <v>276</v>
      </c>
      <c r="AW134" t="s">
        <v>74</v>
      </c>
      <c r="AX134" t="s">
        <v>74</v>
      </c>
      <c r="AY134" t="s">
        <v>74</v>
      </c>
      <c r="AZ134" t="s">
        <v>74</v>
      </c>
      <c r="BA134" t="s">
        <v>74</v>
      </c>
      <c r="BB134">
        <v>111</v>
      </c>
      <c r="BC134">
        <v>127</v>
      </c>
      <c r="BD134" t="s">
        <v>74</v>
      </c>
      <c r="BE134" t="s">
        <v>2225</v>
      </c>
      <c r="BF134" t="str">
        <f>HYPERLINK("http://dx.doi.org/10.1144/GSL.SP.2007.276.01.06","http://dx.doi.org/10.1144/GSL.SP.2007.276.01.06")</f>
        <v>http://dx.doi.org/10.1144/GSL.SP.2007.276.01.06</v>
      </c>
      <c r="BG134" t="s">
        <v>74</v>
      </c>
      <c r="BH134" t="s">
        <v>74</v>
      </c>
      <c r="BI134">
        <v>17</v>
      </c>
      <c r="BJ134" t="s">
        <v>642</v>
      </c>
      <c r="BK134" t="s">
        <v>238</v>
      </c>
      <c r="BL134" t="s">
        <v>642</v>
      </c>
      <c r="BM134" t="s">
        <v>2212</v>
      </c>
      <c r="BN134" t="s">
        <v>74</v>
      </c>
      <c r="BO134" t="s">
        <v>74</v>
      </c>
      <c r="BP134" t="s">
        <v>74</v>
      </c>
      <c r="BQ134" t="s">
        <v>74</v>
      </c>
      <c r="BR134" t="s">
        <v>100</v>
      </c>
      <c r="BS134" t="s">
        <v>2226</v>
      </c>
      <c r="BT134" t="str">
        <f>HYPERLINK("https%3A%2F%2Fwww.webofscience.com%2Fwos%2Fwoscc%2Ffull-record%2FWOS:000268153200007","View Full Record in Web of Science")</f>
        <v>View Full Record in Web of Science</v>
      </c>
    </row>
    <row r="135" spans="1:72" x14ac:dyDescent="0.15">
      <c r="A135" t="s">
        <v>888</v>
      </c>
      <c r="B135" t="s">
        <v>2227</v>
      </c>
      <c r="C135" t="s">
        <v>74</v>
      </c>
      <c r="D135" t="s">
        <v>2191</v>
      </c>
      <c r="E135" t="s">
        <v>74</v>
      </c>
      <c r="F135" t="s">
        <v>2228</v>
      </c>
      <c r="G135" t="s">
        <v>74</v>
      </c>
      <c r="H135" t="s">
        <v>74</v>
      </c>
      <c r="I135" t="s">
        <v>2229</v>
      </c>
      <c r="J135" t="s">
        <v>2195</v>
      </c>
      <c r="K135" t="s">
        <v>2196</v>
      </c>
      <c r="L135" t="s">
        <v>74</v>
      </c>
      <c r="M135" t="s">
        <v>78</v>
      </c>
      <c r="N135" t="s">
        <v>219</v>
      </c>
      <c r="O135" t="s">
        <v>74</v>
      </c>
      <c r="P135" t="s">
        <v>74</v>
      </c>
      <c r="Q135" t="s">
        <v>74</v>
      </c>
      <c r="R135" t="s">
        <v>74</v>
      </c>
      <c r="S135" t="s">
        <v>74</v>
      </c>
      <c r="T135" t="s">
        <v>74</v>
      </c>
      <c r="U135" t="s">
        <v>2230</v>
      </c>
      <c r="V135" t="s">
        <v>2231</v>
      </c>
      <c r="W135" t="s">
        <v>2232</v>
      </c>
      <c r="X135" t="s">
        <v>2233</v>
      </c>
      <c r="Y135" t="s">
        <v>2234</v>
      </c>
      <c r="Z135" t="s">
        <v>2235</v>
      </c>
      <c r="AA135" t="s">
        <v>74</v>
      </c>
      <c r="AB135" t="s">
        <v>74</v>
      </c>
      <c r="AC135" t="s">
        <v>74</v>
      </c>
      <c r="AD135" t="s">
        <v>74</v>
      </c>
      <c r="AE135" t="s">
        <v>74</v>
      </c>
      <c r="AF135" t="s">
        <v>74</v>
      </c>
      <c r="AG135">
        <v>84</v>
      </c>
      <c r="AH135">
        <v>18</v>
      </c>
      <c r="AI135">
        <v>22</v>
      </c>
      <c r="AJ135">
        <v>0</v>
      </c>
      <c r="AK135">
        <v>1</v>
      </c>
      <c r="AL135" t="s">
        <v>1927</v>
      </c>
      <c r="AM135" t="s">
        <v>1928</v>
      </c>
      <c r="AN135" t="s">
        <v>1929</v>
      </c>
      <c r="AO135" t="s">
        <v>2207</v>
      </c>
      <c r="AP135" t="s">
        <v>74</v>
      </c>
      <c r="AQ135" t="s">
        <v>2208</v>
      </c>
      <c r="AR135" t="s">
        <v>2209</v>
      </c>
      <c r="AS135" t="s">
        <v>2210</v>
      </c>
      <c r="AT135" t="s">
        <v>74</v>
      </c>
      <c r="AU135">
        <v>2007</v>
      </c>
      <c r="AV135">
        <v>276</v>
      </c>
      <c r="AW135" t="s">
        <v>74</v>
      </c>
      <c r="AX135" t="s">
        <v>74</v>
      </c>
      <c r="AY135" t="s">
        <v>74</v>
      </c>
      <c r="AZ135" t="s">
        <v>74</v>
      </c>
      <c r="BA135" t="s">
        <v>74</v>
      </c>
      <c r="BB135">
        <v>129</v>
      </c>
      <c r="BC135">
        <v>154</v>
      </c>
      <c r="BD135" t="s">
        <v>74</v>
      </c>
      <c r="BE135" t="s">
        <v>2236</v>
      </c>
      <c r="BF135" t="str">
        <f>HYPERLINK("http://dx.doi.org/10.1144/GSL.SP.2007.276.01.07","http://dx.doi.org/10.1144/GSL.SP.2007.276.01.07")</f>
        <v>http://dx.doi.org/10.1144/GSL.SP.2007.276.01.07</v>
      </c>
      <c r="BG135" t="s">
        <v>74</v>
      </c>
      <c r="BH135" t="s">
        <v>74</v>
      </c>
      <c r="BI135">
        <v>26</v>
      </c>
      <c r="BJ135" t="s">
        <v>642</v>
      </c>
      <c r="BK135" t="s">
        <v>238</v>
      </c>
      <c r="BL135" t="s">
        <v>642</v>
      </c>
      <c r="BM135" t="s">
        <v>2212</v>
      </c>
      <c r="BN135" t="s">
        <v>74</v>
      </c>
      <c r="BO135" t="s">
        <v>74</v>
      </c>
      <c r="BP135" t="s">
        <v>74</v>
      </c>
      <c r="BQ135" t="s">
        <v>74</v>
      </c>
      <c r="BR135" t="s">
        <v>100</v>
      </c>
      <c r="BS135" t="s">
        <v>2237</v>
      </c>
      <c r="BT135" t="str">
        <f>HYPERLINK("https%3A%2F%2Fwww.webofscience.com%2Fwos%2Fwoscc%2Ffull-record%2FWOS:000268153200008","View Full Record in Web of Science")</f>
        <v>View Full Record in Web of Science</v>
      </c>
    </row>
    <row r="136" spans="1:72" x14ac:dyDescent="0.15">
      <c r="A136" t="s">
        <v>888</v>
      </c>
      <c r="B136" t="s">
        <v>2238</v>
      </c>
      <c r="C136" t="s">
        <v>74</v>
      </c>
      <c r="D136" t="s">
        <v>2191</v>
      </c>
      <c r="E136" t="s">
        <v>74</v>
      </c>
      <c r="F136" t="s">
        <v>2239</v>
      </c>
      <c r="G136" t="s">
        <v>74</v>
      </c>
      <c r="H136" t="s">
        <v>74</v>
      </c>
      <c r="I136" t="s">
        <v>2240</v>
      </c>
      <c r="J136" t="s">
        <v>2195</v>
      </c>
      <c r="K136" t="s">
        <v>2196</v>
      </c>
      <c r="L136" t="s">
        <v>74</v>
      </c>
      <c r="M136" t="s">
        <v>78</v>
      </c>
      <c r="N136" t="s">
        <v>219</v>
      </c>
      <c r="O136" t="s">
        <v>74</v>
      </c>
      <c r="P136" t="s">
        <v>74</v>
      </c>
      <c r="Q136" t="s">
        <v>74</v>
      </c>
      <c r="R136" t="s">
        <v>74</v>
      </c>
      <c r="S136" t="s">
        <v>74</v>
      </c>
      <c r="T136" t="s">
        <v>74</v>
      </c>
      <c r="U136" t="s">
        <v>2241</v>
      </c>
      <c r="V136" t="s">
        <v>2242</v>
      </c>
      <c r="W136" t="s">
        <v>2243</v>
      </c>
      <c r="X136" t="s">
        <v>2244</v>
      </c>
      <c r="Y136" t="s">
        <v>2245</v>
      </c>
      <c r="Z136" t="s">
        <v>2246</v>
      </c>
      <c r="AA136" t="s">
        <v>2247</v>
      </c>
      <c r="AB136" t="s">
        <v>74</v>
      </c>
      <c r="AC136" t="s">
        <v>74</v>
      </c>
      <c r="AD136" t="s">
        <v>74</v>
      </c>
      <c r="AE136" t="s">
        <v>74</v>
      </c>
      <c r="AF136" t="s">
        <v>74</v>
      </c>
      <c r="AG136">
        <v>89</v>
      </c>
      <c r="AH136">
        <v>72</v>
      </c>
      <c r="AI136">
        <v>76</v>
      </c>
      <c r="AJ136">
        <v>1</v>
      </c>
      <c r="AK136">
        <v>8</v>
      </c>
      <c r="AL136" t="s">
        <v>1927</v>
      </c>
      <c r="AM136" t="s">
        <v>1928</v>
      </c>
      <c r="AN136" t="s">
        <v>1929</v>
      </c>
      <c r="AO136" t="s">
        <v>2207</v>
      </c>
      <c r="AP136" t="s">
        <v>74</v>
      </c>
      <c r="AQ136" t="s">
        <v>2208</v>
      </c>
      <c r="AR136" t="s">
        <v>2209</v>
      </c>
      <c r="AS136" t="s">
        <v>2210</v>
      </c>
      <c r="AT136" t="s">
        <v>74</v>
      </c>
      <c r="AU136">
        <v>2007</v>
      </c>
      <c r="AV136">
        <v>276</v>
      </c>
      <c r="AW136" t="s">
        <v>74</v>
      </c>
      <c r="AX136" t="s">
        <v>74</v>
      </c>
      <c r="AY136" t="s">
        <v>74</v>
      </c>
      <c r="AZ136" t="s">
        <v>74</v>
      </c>
      <c r="BA136" t="s">
        <v>74</v>
      </c>
      <c r="BB136">
        <v>171</v>
      </c>
      <c r="BC136">
        <v>198</v>
      </c>
      <c r="BD136" t="s">
        <v>74</v>
      </c>
      <c r="BE136" t="s">
        <v>2248</v>
      </c>
      <c r="BF136" t="str">
        <f>HYPERLINK("http://dx.doi.org/10.1144/GSL.SP.2007.276.01.09","http://dx.doi.org/10.1144/GSL.SP.2007.276.01.09")</f>
        <v>http://dx.doi.org/10.1144/GSL.SP.2007.276.01.09</v>
      </c>
      <c r="BG136" t="s">
        <v>74</v>
      </c>
      <c r="BH136" t="s">
        <v>74</v>
      </c>
      <c r="BI136">
        <v>28</v>
      </c>
      <c r="BJ136" t="s">
        <v>642</v>
      </c>
      <c r="BK136" t="s">
        <v>238</v>
      </c>
      <c r="BL136" t="s">
        <v>642</v>
      </c>
      <c r="BM136" t="s">
        <v>2212</v>
      </c>
      <c r="BN136" t="s">
        <v>74</v>
      </c>
      <c r="BO136" t="s">
        <v>74</v>
      </c>
      <c r="BP136" t="s">
        <v>74</v>
      </c>
      <c r="BQ136" t="s">
        <v>74</v>
      </c>
      <c r="BR136" t="s">
        <v>100</v>
      </c>
      <c r="BS136" t="s">
        <v>2249</v>
      </c>
      <c r="BT136" t="str">
        <f>HYPERLINK("https%3A%2F%2Fwww.webofscience.com%2Fwos%2Fwoscc%2Ffull-record%2FWOS:000268153200010","View Full Record in Web of Science")</f>
        <v>View Full Record in Web of Science</v>
      </c>
    </row>
    <row r="137" spans="1:72" x14ac:dyDescent="0.15">
      <c r="A137" t="s">
        <v>72</v>
      </c>
      <c r="B137" t="s">
        <v>2250</v>
      </c>
      <c r="C137" t="s">
        <v>74</v>
      </c>
      <c r="D137" t="s">
        <v>74</v>
      </c>
      <c r="E137" t="s">
        <v>74</v>
      </c>
      <c r="F137" t="s">
        <v>2251</v>
      </c>
      <c r="G137" t="s">
        <v>74</v>
      </c>
      <c r="H137" t="s">
        <v>74</v>
      </c>
      <c r="I137" t="s">
        <v>2252</v>
      </c>
      <c r="J137" t="s">
        <v>2253</v>
      </c>
      <c r="K137" t="s">
        <v>74</v>
      </c>
      <c r="L137" t="s">
        <v>74</v>
      </c>
      <c r="M137" t="s">
        <v>78</v>
      </c>
      <c r="N137" t="s">
        <v>79</v>
      </c>
      <c r="O137" t="s">
        <v>74</v>
      </c>
      <c r="P137" t="s">
        <v>74</v>
      </c>
      <c r="Q137" t="s">
        <v>74</v>
      </c>
      <c r="R137" t="s">
        <v>74</v>
      </c>
      <c r="S137" t="s">
        <v>74</v>
      </c>
      <c r="T137" t="s">
        <v>74</v>
      </c>
      <c r="U137" t="s">
        <v>2254</v>
      </c>
      <c r="V137" t="s">
        <v>2255</v>
      </c>
      <c r="W137" t="s">
        <v>2256</v>
      </c>
      <c r="X137" t="s">
        <v>74</v>
      </c>
      <c r="Y137" t="s">
        <v>2257</v>
      </c>
      <c r="Z137" t="s">
        <v>2258</v>
      </c>
      <c r="AA137" t="s">
        <v>2259</v>
      </c>
      <c r="AB137" t="s">
        <v>74</v>
      </c>
      <c r="AC137" t="s">
        <v>74</v>
      </c>
      <c r="AD137" t="s">
        <v>74</v>
      </c>
      <c r="AE137" t="s">
        <v>74</v>
      </c>
      <c r="AF137" t="s">
        <v>74</v>
      </c>
      <c r="AG137">
        <v>31</v>
      </c>
      <c r="AH137">
        <v>4</v>
      </c>
      <c r="AI137">
        <v>4</v>
      </c>
      <c r="AJ137">
        <v>0</v>
      </c>
      <c r="AK137">
        <v>11</v>
      </c>
      <c r="AL137" t="s">
        <v>568</v>
      </c>
      <c r="AM137" t="s">
        <v>569</v>
      </c>
      <c r="AN137" t="s">
        <v>570</v>
      </c>
      <c r="AO137" t="s">
        <v>2260</v>
      </c>
      <c r="AP137" t="s">
        <v>2261</v>
      </c>
      <c r="AQ137" t="s">
        <v>74</v>
      </c>
      <c r="AR137" t="s">
        <v>2253</v>
      </c>
      <c r="AS137" t="s">
        <v>2262</v>
      </c>
      <c r="AT137" t="s">
        <v>74</v>
      </c>
      <c r="AU137">
        <v>2007</v>
      </c>
      <c r="AV137">
        <v>107</v>
      </c>
      <c r="AW137">
        <v>1</v>
      </c>
      <c r="AX137" t="s">
        <v>74</v>
      </c>
      <c r="AY137" t="s">
        <v>74</v>
      </c>
      <c r="AZ137" t="s">
        <v>74</v>
      </c>
      <c r="BA137" t="s">
        <v>74</v>
      </c>
      <c r="BB137">
        <v>38</v>
      </c>
      <c r="BC137">
        <v>43</v>
      </c>
      <c r="BD137" t="s">
        <v>74</v>
      </c>
      <c r="BE137" t="s">
        <v>2263</v>
      </c>
      <c r="BF137" t="str">
        <f>HYPERLINK("http://dx.doi.org/10.1071/MU06050","http://dx.doi.org/10.1071/MU06050")</f>
        <v>http://dx.doi.org/10.1071/MU06050</v>
      </c>
      <c r="BG137" t="s">
        <v>74</v>
      </c>
      <c r="BH137" t="s">
        <v>74</v>
      </c>
      <c r="BI137">
        <v>6</v>
      </c>
      <c r="BJ137" t="s">
        <v>2264</v>
      </c>
      <c r="BK137" t="s">
        <v>97</v>
      </c>
      <c r="BL137" t="s">
        <v>596</v>
      </c>
      <c r="BM137" t="s">
        <v>2265</v>
      </c>
      <c r="BN137" t="s">
        <v>74</v>
      </c>
      <c r="BO137" t="s">
        <v>74</v>
      </c>
      <c r="BP137" t="s">
        <v>74</v>
      </c>
      <c r="BQ137" t="s">
        <v>74</v>
      </c>
      <c r="BR137" t="s">
        <v>100</v>
      </c>
      <c r="BS137" t="s">
        <v>2266</v>
      </c>
      <c r="BT137" t="str">
        <f>HYPERLINK("https%3A%2F%2Fwww.webofscience.com%2Fwos%2Fwoscc%2Ffull-record%2FWOS:000245030100006","View Full Record in Web of Science")</f>
        <v>View Full Record in Web of Science</v>
      </c>
    </row>
    <row r="138" spans="1:72" x14ac:dyDescent="0.15">
      <c r="A138" t="s">
        <v>72</v>
      </c>
      <c r="B138" t="s">
        <v>2267</v>
      </c>
      <c r="C138" t="s">
        <v>74</v>
      </c>
      <c r="D138" t="s">
        <v>74</v>
      </c>
      <c r="E138" t="s">
        <v>74</v>
      </c>
      <c r="F138" t="s">
        <v>2268</v>
      </c>
      <c r="G138" t="s">
        <v>74</v>
      </c>
      <c r="H138" t="s">
        <v>74</v>
      </c>
      <c r="I138" t="s">
        <v>2269</v>
      </c>
      <c r="J138" t="s">
        <v>2253</v>
      </c>
      <c r="K138" t="s">
        <v>74</v>
      </c>
      <c r="L138" t="s">
        <v>74</v>
      </c>
      <c r="M138" t="s">
        <v>78</v>
      </c>
      <c r="N138" t="s">
        <v>79</v>
      </c>
      <c r="O138" t="s">
        <v>74</v>
      </c>
      <c r="P138" t="s">
        <v>74</v>
      </c>
      <c r="Q138" t="s">
        <v>74</v>
      </c>
      <c r="R138" t="s">
        <v>74</v>
      </c>
      <c r="S138" t="s">
        <v>74</v>
      </c>
      <c r="T138" t="s">
        <v>74</v>
      </c>
      <c r="U138" t="s">
        <v>2270</v>
      </c>
      <c r="V138" t="s">
        <v>2271</v>
      </c>
      <c r="W138" t="s">
        <v>2272</v>
      </c>
      <c r="X138" t="s">
        <v>2273</v>
      </c>
      <c r="Y138" t="s">
        <v>2274</v>
      </c>
      <c r="Z138" t="s">
        <v>2275</v>
      </c>
      <c r="AA138" t="s">
        <v>2276</v>
      </c>
      <c r="AB138" t="s">
        <v>2277</v>
      </c>
      <c r="AC138" t="s">
        <v>74</v>
      </c>
      <c r="AD138" t="s">
        <v>74</v>
      </c>
      <c r="AE138" t="s">
        <v>74</v>
      </c>
      <c r="AF138" t="s">
        <v>74</v>
      </c>
      <c r="AG138">
        <v>35</v>
      </c>
      <c r="AH138">
        <v>11</v>
      </c>
      <c r="AI138">
        <v>14</v>
      </c>
      <c r="AJ138">
        <v>0</v>
      </c>
      <c r="AK138">
        <v>8</v>
      </c>
      <c r="AL138" t="s">
        <v>568</v>
      </c>
      <c r="AM138" t="s">
        <v>2278</v>
      </c>
      <c r="AN138" t="s">
        <v>2279</v>
      </c>
      <c r="AO138" t="s">
        <v>2260</v>
      </c>
      <c r="AP138" t="s">
        <v>74</v>
      </c>
      <c r="AQ138" t="s">
        <v>74</v>
      </c>
      <c r="AR138" t="s">
        <v>2253</v>
      </c>
      <c r="AS138" t="s">
        <v>2262</v>
      </c>
      <c r="AT138" t="s">
        <v>74</v>
      </c>
      <c r="AU138">
        <v>2007</v>
      </c>
      <c r="AV138">
        <v>107</v>
      </c>
      <c r="AW138">
        <v>3</v>
      </c>
      <c r="AX138" t="s">
        <v>74</v>
      </c>
      <c r="AY138" t="s">
        <v>74</v>
      </c>
      <c r="AZ138" t="s">
        <v>74</v>
      </c>
      <c r="BA138" t="s">
        <v>74</v>
      </c>
      <c r="BB138">
        <v>231</v>
      </c>
      <c r="BC138">
        <v>238</v>
      </c>
      <c r="BD138" t="s">
        <v>74</v>
      </c>
      <c r="BE138" t="s">
        <v>2280</v>
      </c>
      <c r="BF138" t="str">
        <f>HYPERLINK("http://dx.doi.org/10.1071/MU07002","http://dx.doi.org/10.1071/MU07002")</f>
        <v>http://dx.doi.org/10.1071/MU07002</v>
      </c>
      <c r="BG138" t="s">
        <v>74</v>
      </c>
      <c r="BH138" t="s">
        <v>74</v>
      </c>
      <c r="BI138">
        <v>8</v>
      </c>
      <c r="BJ138" t="s">
        <v>2264</v>
      </c>
      <c r="BK138" t="s">
        <v>97</v>
      </c>
      <c r="BL138" t="s">
        <v>596</v>
      </c>
      <c r="BM138" t="s">
        <v>2281</v>
      </c>
      <c r="BN138" t="s">
        <v>74</v>
      </c>
      <c r="BO138" t="s">
        <v>74</v>
      </c>
      <c r="BP138" t="s">
        <v>74</v>
      </c>
      <c r="BQ138" t="s">
        <v>74</v>
      </c>
      <c r="BR138" t="s">
        <v>100</v>
      </c>
      <c r="BS138" t="s">
        <v>2282</v>
      </c>
      <c r="BT138" t="str">
        <f>HYPERLINK("https%3A%2F%2Fwww.webofscience.com%2Fwos%2Fwoscc%2Ffull-record%2FWOS:000249274700010","View Full Record in Web of Science")</f>
        <v>View Full Record in Web of Science</v>
      </c>
    </row>
    <row r="139" spans="1:72" x14ac:dyDescent="0.15">
      <c r="A139" t="s">
        <v>72</v>
      </c>
      <c r="B139" t="s">
        <v>2283</v>
      </c>
      <c r="C139" t="s">
        <v>74</v>
      </c>
      <c r="D139" t="s">
        <v>74</v>
      </c>
      <c r="E139" t="s">
        <v>74</v>
      </c>
      <c r="F139" t="s">
        <v>2284</v>
      </c>
      <c r="G139" t="s">
        <v>74</v>
      </c>
      <c r="H139" t="s">
        <v>74</v>
      </c>
      <c r="I139" t="s">
        <v>2285</v>
      </c>
      <c r="J139" t="s">
        <v>2253</v>
      </c>
      <c r="K139" t="s">
        <v>74</v>
      </c>
      <c r="L139" t="s">
        <v>74</v>
      </c>
      <c r="M139" t="s">
        <v>78</v>
      </c>
      <c r="N139" t="s">
        <v>79</v>
      </c>
      <c r="O139" t="s">
        <v>74</v>
      </c>
      <c r="P139" t="s">
        <v>74</v>
      </c>
      <c r="Q139" t="s">
        <v>74</v>
      </c>
      <c r="R139" t="s">
        <v>74</v>
      </c>
      <c r="S139" t="s">
        <v>74</v>
      </c>
      <c r="T139" t="s">
        <v>74</v>
      </c>
      <c r="U139" t="s">
        <v>2286</v>
      </c>
      <c r="V139" t="s">
        <v>2287</v>
      </c>
      <c r="W139" t="s">
        <v>2288</v>
      </c>
      <c r="X139" t="s">
        <v>2289</v>
      </c>
      <c r="Y139" t="s">
        <v>2290</v>
      </c>
      <c r="Z139" t="s">
        <v>2291</v>
      </c>
      <c r="AA139" t="s">
        <v>2292</v>
      </c>
      <c r="AB139" t="s">
        <v>2293</v>
      </c>
      <c r="AC139" t="s">
        <v>74</v>
      </c>
      <c r="AD139" t="s">
        <v>74</v>
      </c>
      <c r="AE139" t="s">
        <v>74</v>
      </c>
      <c r="AF139" t="s">
        <v>74</v>
      </c>
      <c r="AG139">
        <v>15</v>
      </c>
      <c r="AH139">
        <v>10</v>
      </c>
      <c r="AI139">
        <v>17</v>
      </c>
      <c r="AJ139">
        <v>0</v>
      </c>
      <c r="AK139">
        <v>4</v>
      </c>
      <c r="AL139" t="s">
        <v>568</v>
      </c>
      <c r="AM139" t="s">
        <v>569</v>
      </c>
      <c r="AN139" t="s">
        <v>570</v>
      </c>
      <c r="AO139" t="s">
        <v>2260</v>
      </c>
      <c r="AP139" t="s">
        <v>2261</v>
      </c>
      <c r="AQ139" t="s">
        <v>74</v>
      </c>
      <c r="AR139" t="s">
        <v>2253</v>
      </c>
      <c r="AS139" t="s">
        <v>2262</v>
      </c>
      <c r="AT139" t="s">
        <v>74</v>
      </c>
      <c r="AU139">
        <v>2007</v>
      </c>
      <c r="AV139">
        <v>107</v>
      </c>
      <c r="AW139">
        <v>3</v>
      </c>
      <c r="AX139" t="s">
        <v>74</v>
      </c>
      <c r="AY139" t="s">
        <v>74</v>
      </c>
      <c r="AZ139" t="s">
        <v>74</v>
      </c>
      <c r="BA139" t="s">
        <v>74</v>
      </c>
      <c r="BB139">
        <v>239</v>
      </c>
      <c r="BC139">
        <v>244</v>
      </c>
      <c r="BD139" t="s">
        <v>74</v>
      </c>
      <c r="BE139" t="s">
        <v>2294</v>
      </c>
      <c r="BF139" t="str">
        <f>HYPERLINK("http://dx.doi.org/10.1071/MU07028","http://dx.doi.org/10.1071/MU07028")</f>
        <v>http://dx.doi.org/10.1071/MU07028</v>
      </c>
      <c r="BG139" t="s">
        <v>74</v>
      </c>
      <c r="BH139" t="s">
        <v>74</v>
      </c>
      <c r="BI139">
        <v>6</v>
      </c>
      <c r="BJ139" t="s">
        <v>2264</v>
      </c>
      <c r="BK139" t="s">
        <v>97</v>
      </c>
      <c r="BL139" t="s">
        <v>596</v>
      </c>
      <c r="BM139" t="s">
        <v>2281</v>
      </c>
      <c r="BN139" t="s">
        <v>74</v>
      </c>
      <c r="BO139" t="s">
        <v>74</v>
      </c>
      <c r="BP139" t="s">
        <v>74</v>
      </c>
      <c r="BQ139" t="s">
        <v>74</v>
      </c>
      <c r="BR139" t="s">
        <v>100</v>
      </c>
      <c r="BS139" t="s">
        <v>2295</v>
      </c>
      <c r="BT139" t="str">
        <f>HYPERLINK("https%3A%2F%2Fwww.webofscience.com%2Fwos%2Fwoscc%2Ffull-record%2FWOS:000249274700011","View Full Record in Web of Science")</f>
        <v>View Full Record in Web of Science</v>
      </c>
    </row>
    <row r="140" spans="1:72" x14ac:dyDescent="0.15">
      <c r="A140" t="s">
        <v>72</v>
      </c>
      <c r="B140" t="s">
        <v>2296</v>
      </c>
      <c r="C140" t="s">
        <v>74</v>
      </c>
      <c r="D140" t="s">
        <v>74</v>
      </c>
      <c r="E140" t="s">
        <v>74</v>
      </c>
      <c r="F140" t="s">
        <v>2297</v>
      </c>
      <c r="G140" t="s">
        <v>74</v>
      </c>
      <c r="H140" t="s">
        <v>74</v>
      </c>
      <c r="I140" t="s">
        <v>2298</v>
      </c>
      <c r="J140" t="s">
        <v>2253</v>
      </c>
      <c r="K140" t="s">
        <v>74</v>
      </c>
      <c r="L140" t="s">
        <v>74</v>
      </c>
      <c r="M140" t="s">
        <v>78</v>
      </c>
      <c r="N140" t="s">
        <v>79</v>
      </c>
      <c r="O140" t="s">
        <v>74</v>
      </c>
      <c r="P140" t="s">
        <v>74</v>
      </c>
      <c r="Q140" t="s">
        <v>74</v>
      </c>
      <c r="R140" t="s">
        <v>74</v>
      </c>
      <c r="S140" t="s">
        <v>74</v>
      </c>
      <c r="T140" t="s">
        <v>74</v>
      </c>
      <c r="U140" t="s">
        <v>2299</v>
      </c>
      <c r="V140" t="s">
        <v>2300</v>
      </c>
      <c r="W140" t="s">
        <v>2301</v>
      </c>
      <c r="X140" t="s">
        <v>2302</v>
      </c>
      <c r="Y140" t="s">
        <v>2303</v>
      </c>
      <c r="Z140" t="s">
        <v>2304</v>
      </c>
      <c r="AA140" t="s">
        <v>2305</v>
      </c>
      <c r="AB140" t="s">
        <v>74</v>
      </c>
      <c r="AC140" t="s">
        <v>74</v>
      </c>
      <c r="AD140" t="s">
        <v>74</v>
      </c>
      <c r="AE140" t="s">
        <v>74</v>
      </c>
      <c r="AF140" t="s">
        <v>74</v>
      </c>
      <c r="AG140">
        <v>38</v>
      </c>
      <c r="AH140">
        <v>20</v>
      </c>
      <c r="AI140">
        <v>23</v>
      </c>
      <c r="AJ140">
        <v>0</v>
      </c>
      <c r="AK140">
        <v>13</v>
      </c>
      <c r="AL140" t="s">
        <v>568</v>
      </c>
      <c r="AM140" t="s">
        <v>2278</v>
      </c>
      <c r="AN140" t="s">
        <v>2279</v>
      </c>
      <c r="AO140" t="s">
        <v>2260</v>
      </c>
      <c r="AP140" t="s">
        <v>74</v>
      </c>
      <c r="AQ140" t="s">
        <v>74</v>
      </c>
      <c r="AR140" t="s">
        <v>2253</v>
      </c>
      <c r="AS140" t="s">
        <v>2262</v>
      </c>
      <c r="AT140" t="s">
        <v>74</v>
      </c>
      <c r="AU140">
        <v>2007</v>
      </c>
      <c r="AV140">
        <v>107</v>
      </c>
      <c r="AW140">
        <v>4</v>
      </c>
      <c r="AX140" t="s">
        <v>74</v>
      </c>
      <c r="AY140" t="s">
        <v>74</v>
      </c>
      <c r="AZ140" t="s">
        <v>74</v>
      </c>
      <c r="BA140" t="s">
        <v>74</v>
      </c>
      <c r="BB140">
        <v>275</v>
      </c>
      <c r="BC140">
        <v>283</v>
      </c>
      <c r="BD140" t="s">
        <v>74</v>
      </c>
      <c r="BE140" t="s">
        <v>2306</v>
      </c>
      <c r="BF140" t="str">
        <f>HYPERLINK("http://dx.doi.org/10.1071/MU07005","http://dx.doi.org/10.1071/MU07005")</f>
        <v>http://dx.doi.org/10.1071/MU07005</v>
      </c>
      <c r="BG140" t="s">
        <v>74</v>
      </c>
      <c r="BH140" t="s">
        <v>74</v>
      </c>
      <c r="BI140">
        <v>9</v>
      </c>
      <c r="BJ140" t="s">
        <v>2264</v>
      </c>
      <c r="BK140" t="s">
        <v>97</v>
      </c>
      <c r="BL140" t="s">
        <v>596</v>
      </c>
      <c r="BM140" t="s">
        <v>2307</v>
      </c>
      <c r="BN140" t="s">
        <v>74</v>
      </c>
      <c r="BO140" t="s">
        <v>74</v>
      </c>
      <c r="BP140" t="s">
        <v>74</v>
      </c>
      <c r="BQ140" t="s">
        <v>74</v>
      </c>
      <c r="BR140" t="s">
        <v>100</v>
      </c>
      <c r="BS140" t="s">
        <v>2308</v>
      </c>
      <c r="BT140" t="str">
        <f>HYPERLINK("https%3A%2F%2Fwww.webofscience.com%2Fwos%2Fwoscc%2Ffull-record%2FWOS:000251427800003","View Full Record in Web of Science")</f>
        <v>View Full Record in Web of Science</v>
      </c>
    </row>
    <row r="141" spans="1:72" x14ac:dyDescent="0.15">
      <c r="A141" t="s">
        <v>72</v>
      </c>
      <c r="B141" t="s">
        <v>2309</v>
      </c>
      <c r="C141" t="s">
        <v>74</v>
      </c>
      <c r="D141" t="s">
        <v>74</v>
      </c>
      <c r="E141" t="s">
        <v>74</v>
      </c>
      <c r="F141" t="s">
        <v>2310</v>
      </c>
      <c r="G141" t="s">
        <v>74</v>
      </c>
      <c r="H141" t="s">
        <v>74</v>
      </c>
      <c r="I141" t="s">
        <v>2311</v>
      </c>
      <c r="J141" t="s">
        <v>2312</v>
      </c>
      <c r="K141" t="s">
        <v>74</v>
      </c>
      <c r="L141" t="s">
        <v>74</v>
      </c>
      <c r="M141" t="s">
        <v>78</v>
      </c>
      <c r="N141" t="s">
        <v>79</v>
      </c>
      <c r="O141" t="s">
        <v>74</v>
      </c>
      <c r="P141" t="s">
        <v>74</v>
      </c>
      <c r="Q141" t="s">
        <v>74</v>
      </c>
      <c r="R141" t="s">
        <v>74</v>
      </c>
      <c r="S141" t="s">
        <v>74</v>
      </c>
      <c r="T141" t="s">
        <v>2313</v>
      </c>
      <c r="U141" t="s">
        <v>2314</v>
      </c>
      <c r="V141" t="s">
        <v>2315</v>
      </c>
      <c r="W141" t="s">
        <v>2316</v>
      </c>
      <c r="X141" t="s">
        <v>2317</v>
      </c>
      <c r="Y141" t="s">
        <v>2318</v>
      </c>
      <c r="Z141" t="s">
        <v>2319</v>
      </c>
      <c r="AA141" t="s">
        <v>2320</v>
      </c>
      <c r="AB141" t="s">
        <v>2321</v>
      </c>
      <c r="AC141" t="s">
        <v>74</v>
      </c>
      <c r="AD141" t="s">
        <v>74</v>
      </c>
      <c r="AE141" t="s">
        <v>74</v>
      </c>
      <c r="AF141" t="s">
        <v>74</v>
      </c>
      <c r="AG141">
        <v>53</v>
      </c>
      <c r="AH141">
        <v>15</v>
      </c>
      <c r="AI141">
        <v>15</v>
      </c>
      <c r="AJ141">
        <v>0</v>
      </c>
      <c r="AK141">
        <v>25</v>
      </c>
      <c r="AL141" t="s">
        <v>568</v>
      </c>
      <c r="AM141" t="s">
        <v>569</v>
      </c>
      <c r="AN141" t="s">
        <v>570</v>
      </c>
      <c r="AO141" t="s">
        <v>2322</v>
      </c>
      <c r="AP141" t="s">
        <v>2323</v>
      </c>
      <c r="AQ141" t="s">
        <v>74</v>
      </c>
      <c r="AR141" t="s">
        <v>2324</v>
      </c>
      <c r="AS141" t="s">
        <v>2325</v>
      </c>
      <c r="AT141" t="s">
        <v>74</v>
      </c>
      <c r="AU141">
        <v>2007</v>
      </c>
      <c r="AV141">
        <v>4</v>
      </c>
      <c r="AW141">
        <v>3</v>
      </c>
      <c r="AX141" t="s">
        <v>74</v>
      </c>
      <c r="AY141" t="s">
        <v>74</v>
      </c>
      <c r="AZ141" t="s">
        <v>74</v>
      </c>
      <c r="BA141" t="s">
        <v>74</v>
      </c>
      <c r="BB141">
        <v>143</v>
      </c>
      <c r="BC141">
        <v>150</v>
      </c>
      <c r="BD141" t="s">
        <v>74</v>
      </c>
      <c r="BE141" t="s">
        <v>2326</v>
      </c>
      <c r="BF141" t="str">
        <f>HYPERLINK("http://dx.doi.org/10.1071/EN07041","http://dx.doi.org/10.1071/EN07041")</f>
        <v>http://dx.doi.org/10.1071/EN07041</v>
      </c>
      <c r="BG141" t="s">
        <v>74</v>
      </c>
      <c r="BH141" t="s">
        <v>74</v>
      </c>
      <c r="BI141">
        <v>8</v>
      </c>
      <c r="BJ141" t="s">
        <v>2327</v>
      </c>
      <c r="BK141" t="s">
        <v>97</v>
      </c>
      <c r="BL141" t="s">
        <v>2328</v>
      </c>
      <c r="BM141" t="s">
        <v>2329</v>
      </c>
      <c r="BN141" t="s">
        <v>74</v>
      </c>
      <c r="BO141" t="s">
        <v>74</v>
      </c>
      <c r="BP141" t="s">
        <v>74</v>
      </c>
      <c r="BQ141" t="s">
        <v>74</v>
      </c>
      <c r="BR141" t="s">
        <v>100</v>
      </c>
      <c r="BS141" t="s">
        <v>2330</v>
      </c>
      <c r="BT141" t="str">
        <f>HYPERLINK("https%3A%2F%2Fwww.webofscience.com%2Fwos%2Fwoscc%2Ffull-record%2FWOS:000247436800002","View Full Record in Web of Science")</f>
        <v>View Full Record in Web of Science</v>
      </c>
    </row>
    <row r="142" spans="1:72" x14ac:dyDescent="0.15">
      <c r="A142" t="s">
        <v>72</v>
      </c>
      <c r="B142" t="s">
        <v>2331</v>
      </c>
      <c r="C142" t="s">
        <v>74</v>
      </c>
      <c r="D142" t="s">
        <v>74</v>
      </c>
      <c r="E142" t="s">
        <v>74</v>
      </c>
      <c r="F142" t="s">
        <v>2332</v>
      </c>
      <c r="G142" t="s">
        <v>74</v>
      </c>
      <c r="H142" t="s">
        <v>74</v>
      </c>
      <c r="I142" t="s">
        <v>2333</v>
      </c>
      <c r="J142" t="s">
        <v>2312</v>
      </c>
      <c r="K142" t="s">
        <v>74</v>
      </c>
      <c r="L142" t="s">
        <v>74</v>
      </c>
      <c r="M142" t="s">
        <v>78</v>
      </c>
      <c r="N142" t="s">
        <v>79</v>
      </c>
      <c r="O142" t="s">
        <v>74</v>
      </c>
      <c r="P142" t="s">
        <v>74</v>
      </c>
      <c r="Q142" t="s">
        <v>74</v>
      </c>
      <c r="R142" t="s">
        <v>74</v>
      </c>
      <c r="S142" t="s">
        <v>74</v>
      </c>
      <c r="T142" t="s">
        <v>2334</v>
      </c>
      <c r="U142" t="s">
        <v>2335</v>
      </c>
      <c r="V142" t="s">
        <v>2336</v>
      </c>
      <c r="W142" t="s">
        <v>2337</v>
      </c>
      <c r="X142" t="s">
        <v>74</v>
      </c>
      <c r="Y142" t="s">
        <v>2338</v>
      </c>
      <c r="Z142" t="s">
        <v>2339</v>
      </c>
      <c r="AA142" t="s">
        <v>2340</v>
      </c>
      <c r="AB142" t="s">
        <v>74</v>
      </c>
      <c r="AC142" t="s">
        <v>74</v>
      </c>
      <c r="AD142" t="s">
        <v>74</v>
      </c>
      <c r="AE142" t="s">
        <v>74</v>
      </c>
      <c r="AF142" t="s">
        <v>74</v>
      </c>
      <c r="AG142">
        <v>32</v>
      </c>
      <c r="AH142">
        <v>10</v>
      </c>
      <c r="AI142">
        <v>10</v>
      </c>
      <c r="AJ142">
        <v>1</v>
      </c>
      <c r="AK142">
        <v>14</v>
      </c>
      <c r="AL142" t="s">
        <v>568</v>
      </c>
      <c r="AM142" t="s">
        <v>2278</v>
      </c>
      <c r="AN142" t="s">
        <v>2279</v>
      </c>
      <c r="AO142" t="s">
        <v>2322</v>
      </c>
      <c r="AP142" t="s">
        <v>74</v>
      </c>
      <c r="AQ142" t="s">
        <v>74</v>
      </c>
      <c r="AR142" t="s">
        <v>2324</v>
      </c>
      <c r="AS142" t="s">
        <v>2325</v>
      </c>
      <c r="AT142" t="s">
        <v>74</v>
      </c>
      <c r="AU142">
        <v>2007</v>
      </c>
      <c r="AV142">
        <v>4</v>
      </c>
      <c r="AW142">
        <v>3</v>
      </c>
      <c r="AX142" t="s">
        <v>74</v>
      </c>
      <c r="AY142" t="s">
        <v>74</v>
      </c>
      <c r="AZ142" t="s">
        <v>74</v>
      </c>
      <c r="BA142" t="s">
        <v>74</v>
      </c>
      <c r="BB142">
        <v>172</v>
      </c>
      <c r="BC142">
        <v>177</v>
      </c>
      <c r="BD142" t="s">
        <v>74</v>
      </c>
      <c r="BE142" t="s">
        <v>2341</v>
      </c>
      <c r="BF142" t="str">
        <f>HYPERLINK("http://dx.doi.org/10.1071/EN07008","http://dx.doi.org/10.1071/EN07008")</f>
        <v>http://dx.doi.org/10.1071/EN07008</v>
      </c>
      <c r="BG142" t="s">
        <v>74</v>
      </c>
      <c r="BH142" t="s">
        <v>74</v>
      </c>
      <c r="BI142">
        <v>6</v>
      </c>
      <c r="BJ142" t="s">
        <v>2327</v>
      </c>
      <c r="BK142" t="s">
        <v>97</v>
      </c>
      <c r="BL142" t="s">
        <v>2328</v>
      </c>
      <c r="BM142" t="s">
        <v>2329</v>
      </c>
      <c r="BN142" t="s">
        <v>74</v>
      </c>
      <c r="BO142" t="s">
        <v>74</v>
      </c>
      <c r="BP142" t="s">
        <v>74</v>
      </c>
      <c r="BQ142" t="s">
        <v>74</v>
      </c>
      <c r="BR142" t="s">
        <v>100</v>
      </c>
      <c r="BS142" t="s">
        <v>2342</v>
      </c>
      <c r="BT142" t="str">
        <f>HYPERLINK("https%3A%2F%2Fwww.webofscience.com%2Fwos%2Fwoscc%2Ffull-record%2FWOS:000247436800006","View Full Record in Web of Science")</f>
        <v>View Full Record in Web of Science</v>
      </c>
    </row>
    <row r="143" spans="1:72" x14ac:dyDescent="0.15">
      <c r="A143" t="s">
        <v>72</v>
      </c>
      <c r="B143" t="s">
        <v>2343</v>
      </c>
      <c r="C143" t="s">
        <v>74</v>
      </c>
      <c r="D143" t="s">
        <v>74</v>
      </c>
      <c r="E143" t="s">
        <v>74</v>
      </c>
      <c r="F143" t="s">
        <v>2344</v>
      </c>
      <c r="G143" t="s">
        <v>74</v>
      </c>
      <c r="H143" t="s">
        <v>74</v>
      </c>
      <c r="I143" t="s">
        <v>2345</v>
      </c>
      <c r="J143" t="s">
        <v>2312</v>
      </c>
      <c r="K143" t="s">
        <v>74</v>
      </c>
      <c r="L143" t="s">
        <v>74</v>
      </c>
      <c r="M143" t="s">
        <v>78</v>
      </c>
      <c r="N143" t="s">
        <v>79</v>
      </c>
      <c r="O143" t="s">
        <v>74</v>
      </c>
      <c r="P143" t="s">
        <v>74</v>
      </c>
      <c r="Q143" t="s">
        <v>74</v>
      </c>
      <c r="R143" t="s">
        <v>74</v>
      </c>
      <c r="S143" t="s">
        <v>74</v>
      </c>
      <c r="T143" t="s">
        <v>2346</v>
      </c>
      <c r="U143" t="s">
        <v>2347</v>
      </c>
      <c r="V143" t="s">
        <v>2348</v>
      </c>
      <c r="W143" t="s">
        <v>513</v>
      </c>
      <c r="X143" t="s">
        <v>514</v>
      </c>
      <c r="Y143" t="s">
        <v>2349</v>
      </c>
      <c r="Z143" t="s">
        <v>2350</v>
      </c>
      <c r="AA143" t="s">
        <v>2351</v>
      </c>
      <c r="AB143" t="s">
        <v>2352</v>
      </c>
      <c r="AC143" t="s">
        <v>157</v>
      </c>
      <c r="AD143" t="s">
        <v>158</v>
      </c>
      <c r="AE143" t="s">
        <v>74</v>
      </c>
      <c r="AF143" t="s">
        <v>74</v>
      </c>
      <c r="AG143">
        <v>40</v>
      </c>
      <c r="AH143">
        <v>4</v>
      </c>
      <c r="AI143">
        <v>6</v>
      </c>
      <c r="AJ143">
        <v>3</v>
      </c>
      <c r="AK143">
        <v>33</v>
      </c>
      <c r="AL143" t="s">
        <v>568</v>
      </c>
      <c r="AM143" t="s">
        <v>569</v>
      </c>
      <c r="AN143" t="s">
        <v>570</v>
      </c>
      <c r="AO143" t="s">
        <v>2322</v>
      </c>
      <c r="AP143" t="s">
        <v>2323</v>
      </c>
      <c r="AQ143" t="s">
        <v>74</v>
      </c>
      <c r="AR143" t="s">
        <v>2324</v>
      </c>
      <c r="AS143" t="s">
        <v>2325</v>
      </c>
      <c r="AT143" t="s">
        <v>74</v>
      </c>
      <c r="AU143">
        <v>2007</v>
      </c>
      <c r="AV143">
        <v>4</v>
      </c>
      <c r="AW143">
        <v>4</v>
      </c>
      <c r="AX143" t="s">
        <v>74</v>
      </c>
      <c r="AY143" t="s">
        <v>74</v>
      </c>
      <c r="AZ143" t="s">
        <v>74</v>
      </c>
      <c r="BA143" t="s">
        <v>74</v>
      </c>
      <c r="BB143">
        <v>211</v>
      </c>
      <c r="BC143">
        <v>216</v>
      </c>
      <c r="BD143" t="s">
        <v>74</v>
      </c>
      <c r="BE143" t="s">
        <v>2353</v>
      </c>
      <c r="BF143" t="str">
        <f>HYPERLINK("http://dx.doi.org/10.1071/EN07031","http://dx.doi.org/10.1071/EN07031")</f>
        <v>http://dx.doi.org/10.1071/EN07031</v>
      </c>
      <c r="BG143" t="s">
        <v>74</v>
      </c>
      <c r="BH143" t="s">
        <v>74</v>
      </c>
      <c r="BI143">
        <v>6</v>
      </c>
      <c r="BJ143" t="s">
        <v>2327</v>
      </c>
      <c r="BK143" t="s">
        <v>97</v>
      </c>
      <c r="BL143" t="s">
        <v>2328</v>
      </c>
      <c r="BM143" t="s">
        <v>2354</v>
      </c>
      <c r="BN143" t="s">
        <v>74</v>
      </c>
      <c r="BO143" t="s">
        <v>124</v>
      </c>
      <c r="BP143" t="s">
        <v>74</v>
      </c>
      <c r="BQ143" t="s">
        <v>74</v>
      </c>
      <c r="BR143" t="s">
        <v>100</v>
      </c>
      <c r="BS143" t="s">
        <v>2355</v>
      </c>
      <c r="BT143" t="str">
        <f>HYPERLINK("https%3A%2F%2Fwww.webofscience.com%2Fwos%2Fwoscc%2Ffull-record%2FWOS:000248796400001","View Full Record in Web of Science")</f>
        <v>View Full Record in Web of Science</v>
      </c>
    </row>
    <row r="144" spans="1:72" x14ac:dyDescent="0.15">
      <c r="A144" t="s">
        <v>72</v>
      </c>
      <c r="B144" t="s">
        <v>2356</v>
      </c>
      <c r="C144" t="s">
        <v>74</v>
      </c>
      <c r="D144" t="s">
        <v>74</v>
      </c>
      <c r="E144" t="s">
        <v>74</v>
      </c>
      <c r="F144" t="s">
        <v>2357</v>
      </c>
      <c r="G144" t="s">
        <v>74</v>
      </c>
      <c r="H144" t="s">
        <v>74</v>
      </c>
      <c r="I144" t="s">
        <v>2358</v>
      </c>
      <c r="J144" t="s">
        <v>2312</v>
      </c>
      <c r="K144" t="s">
        <v>74</v>
      </c>
      <c r="L144" t="s">
        <v>74</v>
      </c>
      <c r="M144" t="s">
        <v>78</v>
      </c>
      <c r="N144" t="s">
        <v>366</v>
      </c>
      <c r="O144" t="s">
        <v>74</v>
      </c>
      <c r="P144" t="s">
        <v>74</v>
      </c>
      <c r="Q144" t="s">
        <v>74</v>
      </c>
      <c r="R144" t="s">
        <v>74</v>
      </c>
      <c r="S144" t="s">
        <v>74</v>
      </c>
      <c r="T144" t="s">
        <v>74</v>
      </c>
      <c r="U144" t="s">
        <v>2359</v>
      </c>
      <c r="V144" t="s">
        <v>2360</v>
      </c>
      <c r="W144" t="s">
        <v>2361</v>
      </c>
      <c r="X144" t="s">
        <v>2362</v>
      </c>
      <c r="Y144" t="s">
        <v>2363</v>
      </c>
      <c r="Z144" t="s">
        <v>2319</v>
      </c>
      <c r="AA144" t="s">
        <v>74</v>
      </c>
      <c r="AB144" t="s">
        <v>74</v>
      </c>
      <c r="AC144" t="s">
        <v>74</v>
      </c>
      <c r="AD144" t="s">
        <v>74</v>
      </c>
      <c r="AE144" t="s">
        <v>74</v>
      </c>
      <c r="AF144" t="s">
        <v>74</v>
      </c>
      <c r="AG144">
        <v>118</v>
      </c>
      <c r="AH144">
        <v>97</v>
      </c>
      <c r="AI144">
        <v>105</v>
      </c>
      <c r="AJ144">
        <v>6</v>
      </c>
      <c r="AK144">
        <v>97</v>
      </c>
      <c r="AL144" t="s">
        <v>568</v>
      </c>
      <c r="AM144" t="s">
        <v>569</v>
      </c>
      <c r="AN144" t="s">
        <v>570</v>
      </c>
      <c r="AO144" t="s">
        <v>2322</v>
      </c>
      <c r="AP144" t="s">
        <v>2323</v>
      </c>
      <c r="AQ144" t="s">
        <v>74</v>
      </c>
      <c r="AR144" t="s">
        <v>2324</v>
      </c>
      <c r="AS144" t="s">
        <v>2325</v>
      </c>
      <c r="AT144" t="s">
        <v>74</v>
      </c>
      <c r="AU144">
        <v>2007</v>
      </c>
      <c r="AV144">
        <v>4</v>
      </c>
      <c r="AW144">
        <v>6</v>
      </c>
      <c r="AX144" t="s">
        <v>74</v>
      </c>
      <c r="AY144" t="s">
        <v>74</v>
      </c>
      <c r="AZ144" t="s">
        <v>74</v>
      </c>
      <c r="BA144" t="s">
        <v>74</v>
      </c>
      <c r="BB144">
        <v>366</v>
      </c>
      <c r="BC144">
        <v>374</v>
      </c>
      <c r="BD144" t="s">
        <v>74</v>
      </c>
      <c r="BE144" t="s">
        <v>2364</v>
      </c>
      <c r="BF144" t="str">
        <f>HYPERLINK("http://dx.doi.org/10.1071/EN07080","http://dx.doi.org/10.1071/EN07080")</f>
        <v>http://dx.doi.org/10.1071/EN07080</v>
      </c>
      <c r="BG144" t="s">
        <v>74</v>
      </c>
      <c r="BH144" t="s">
        <v>74</v>
      </c>
      <c r="BI144">
        <v>9</v>
      </c>
      <c r="BJ144" t="s">
        <v>2327</v>
      </c>
      <c r="BK144" t="s">
        <v>97</v>
      </c>
      <c r="BL144" t="s">
        <v>2328</v>
      </c>
      <c r="BM144" t="s">
        <v>2365</v>
      </c>
      <c r="BN144" t="s">
        <v>74</v>
      </c>
      <c r="BO144" t="s">
        <v>124</v>
      </c>
      <c r="BP144" t="s">
        <v>74</v>
      </c>
      <c r="BQ144" t="s">
        <v>74</v>
      </c>
      <c r="BR144" t="s">
        <v>100</v>
      </c>
      <c r="BS144" t="s">
        <v>2366</v>
      </c>
      <c r="BT144" t="str">
        <f>HYPERLINK("https%3A%2F%2Fwww.webofscience.com%2Fwos%2Fwoscc%2Ffull-record%2FWOS:000251417700002","View Full Record in Web of Science")</f>
        <v>View Full Record in Web of Science</v>
      </c>
    </row>
    <row r="145" spans="1:72" x14ac:dyDescent="0.15">
      <c r="A145" t="s">
        <v>72</v>
      </c>
      <c r="B145" t="s">
        <v>2367</v>
      </c>
      <c r="C145" t="s">
        <v>74</v>
      </c>
      <c r="D145" t="s">
        <v>74</v>
      </c>
      <c r="E145" t="s">
        <v>74</v>
      </c>
      <c r="F145" t="s">
        <v>2368</v>
      </c>
      <c r="G145" t="s">
        <v>74</v>
      </c>
      <c r="H145" t="s">
        <v>74</v>
      </c>
      <c r="I145" t="s">
        <v>2369</v>
      </c>
      <c r="J145" t="s">
        <v>2370</v>
      </c>
      <c r="K145" t="s">
        <v>74</v>
      </c>
      <c r="L145" t="s">
        <v>74</v>
      </c>
      <c r="M145" t="s">
        <v>78</v>
      </c>
      <c r="N145" t="s">
        <v>79</v>
      </c>
      <c r="O145" t="s">
        <v>74</v>
      </c>
      <c r="P145" t="s">
        <v>74</v>
      </c>
      <c r="Q145" t="s">
        <v>74</v>
      </c>
      <c r="R145" t="s">
        <v>74</v>
      </c>
      <c r="S145" t="s">
        <v>74</v>
      </c>
      <c r="T145" t="s">
        <v>74</v>
      </c>
      <c r="U145" t="s">
        <v>2371</v>
      </c>
      <c r="V145" t="s">
        <v>2372</v>
      </c>
      <c r="W145" t="s">
        <v>2373</v>
      </c>
      <c r="X145" t="s">
        <v>2374</v>
      </c>
      <c r="Y145" t="s">
        <v>2375</v>
      </c>
      <c r="Z145" t="s">
        <v>2376</v>
      </c>
      <c r="AA145" t="s">
        <v>2377</v>
      </c>
      <c r="AB145" t="s">
        <v>2378</v>
      </c>
      <c r="AC145" t="s">
        <v>74</v>
      </c>
      <c r="AD145" t="s">
        <v>74</v>
      </c>
      <c r="AE145" t="s">
        <v>74</v>
      </c>
      <c r="AF145" t="s">
        <v>74</v>
      </c>
      <c r="AG145">
        <v>45</v>
      </c>
      <c r="AH145">
        <v>99</v>
      </c>
      <c r="AI145">
        <v>119</v>
      </c>
      <c r="AJ145">
        <v>1</v>
      </c>
      <c r="AK145">
        <v>29</v>
      </c>
      <c r="AL145" t="s">
        <v>159</v>
      </c>
      <c r="AM145" t="s">
        <v>160</v>
      </c>
      <c r="AN145" t="s">
        <v>161</v>
      </c>
      <c r="AO145" t="s">
        <v>2379</v>
      </c>
      <c r="AP145" t="s">
        <v>2380</v>
      </c>
      <c r="AQ145" t="s">
        <v>74</v>
      </c>
      <c r="AR145" t="s">
        <v>2381</v>
      </c>
      <c r="AS145" t="s">
        <v>2382</v>
      </c>
      <c r="AT145" t="s">
        <v>661</v>
      </c>
      <c r="AU145">
        <v>2007</v>
      </c>
      <c r="AV145">
        <v>9</v>
      </c>
      <c r="AW145">
        <v>1</v>
      </c>
      <c r="AX145" t="s">
        <v>74</v>
      </c>
      <c r="AY145" t="s">
        <v>74</v>
      </c>
      <c r="AZ145" t="s">
        <v>74</v>
      </c>
      <c r="BA145" t="s">
        <v>74</v>
      </c>
      <c r="BB145">
        <v>26</v>
      </c>
      <c r="BC145">
        <v>38</v>
      </c>
      <c r="BD145" t="s">
        <v>74</v>
      </c>
      <c r="BE145" t="s">
        <v>2383</v>
      </c>
      <c r="BF145" t="str">
        <f>HYPERLINK("http://dx.doi.org/10.1111/j.1462-2920.2006.01103.x","http://dx.doi.org/10.1111/j.1462-2920.2006.01103.x")</f>
        <v>http://dx.doi.org/10.1111/j.1462-2920.2006.01103.x</v>
      </c>
      <c r="BG145" t="s">
        <v>74</v>
      </c>
      <c r="BH145" t="s">
        <v>74</v>
      </c>
      <c r="BI145">
        <v>13</v>
      </c>
      <c r="BJ145" t="s">
        <v>2384</v>
      </c>
      <c r="BK145" t="s">
        <v>97</v>
      </c>
      <c r="BL145" t="s">
        <v>2384</v>
      </c>
      <c r="BM145" t="s">
        <v>2385</v>
      </c>
      <c r="BN145">
        <v>17227409</v>
      </c>
      <c r="BO145" t="s">
        <v>74</v>
      </c>
      <c r="BP145" t="s">
        <v>74</v>
      </c>
      <c r="BQ145" t="s">
        <v>74</v>
      </c>
      <c r="BR145" t="s">
        <v>100</v>
      </c>
      <c r="BS145" t="s">
        <v>2386</v>
      </c>
      <c r="BT145" t="str">
        <f>HYPERLINK("https%3A%2F%2Fwww.webofscience.com%2Fwos%2Fwoscc%2Ffull-record%2FWOS:000243294900012","View Full Record in Web of Science")</f>
        <v>View Full Record in Web of Science</v>
      </c>
    </row>
    <row r="146" spans="1:72" x14ac:dyDescent="0.15">
      <c r="A146" t="s">
        <v>72</v>
      </c>
      <c r="B146" t="s">
        <v>2387</v>
      </c>
      <c r="C146" t="s">
        <v>74</v>
      </c>
      <c r="D146" t="s">
        <v>74</v>
      </c>
      <c r="E146" t="s">
        <v>74</v>
      </c>
      <c r="F146" t="s">
        <v>2388</v>
      </c>
      <c r="G146" t="s">
        <v>74</v>
      </c>
      <c r="H146" t="s">
        <v>74</v>
      </c>
      <c r="I146" t="s">
        <v>2389</v>
      </c>
      <c r="J146" t="s">
        <v>2370</v>
      </c>
      <c r="K146" t="s">
        <v>74</v>
      </c>
      <c r="L146" t="s">
        <v>74</v>
      </c>
      <c r="M146" t="s">
        <v>78</v>
      </c>
      <c r="N146" t="s">
        <v>79</v>
      </c>
      <c r="O146" t="s">
        <v>74</v>
      </c>
      <c r="P146" t="s">
        <v>74</v>
      </c>
      <c r="Q146" t="s">
        <v>74</v>
      </c>
      <c r="R146" t="s">
        <v>74</v>
      </c>
      <c r="S146" t="s">
        <v>74</v>
      </c>
      <c r="T146" t="s">
        <v>74</v>
      </c>
      <c r="U146" t="s">
        <v>2390</v>
      </c>
      <c r="V146" t="s">
        <v>2391</v>
      </c>
      <c r="W146" t="s">
        <v>2392</v>
      </c>
      <c r="X146" t="s">
        <v>2393</v>
      </c>
      <c r="Y146" t="s">
        <v>2394</v>
      </c>
      <c r="Z146" t="s">
        <v>2395</v>
      </c>
      <c r="AA146" t="s">
        <v>74</v>
      </c>
      <c r="AB146" t="s">
        <v>2396</v>
      </c>
      <c r="AC146" t="s">
        <v>74</v>
      </c>
      <c r="AD146" t="s">
        <v>74</v>
      </c>
      <c r="AE146" t="s">
        <v>74</v>
      </c>
      <c r="AF146" t="s">
        <v>74</v>
      </c>
      <c r="AG146">
        <v>24</v>
      </c>
      <c r="AH146">
        <v>103</v>
      </c>
      <c r="AI146">
        <v>109</v>
      </c>
      <c r="AJ146">
        <v>0</v>
      </c>
      <c r="AK146">
        <v>35</v>
      </c>
      <c r="AL146" t="s">
        <v>2397</v>
      </c>
      <c r="AM146" t="s">
        <v>2398</v>
      </c>
      <c r="AN146" t="s">
        <v>2399</v>
      </c>
      <c r="AO146" t="s">
        <v>2379</v>
      </c>
      <c r="AP146" t="s">
        <v>74</v>
      </c>
      <c r="AQ146" t="s">
        <v>74</v>
      </c>
      <c r="AR146" t="s">
        <v>2381</v>
      </c>
      <c r="AS146" t="s">
        <v>2382</v>
      </c>
      <c r="AT146" t="s">
        <v>661</v>
      </c>
      <c r="AU146">
        <v>2007</v>
      </c>
      <c r="AV146">
        <v>9</v>
      </c>
      <c r="AW146">
        <v>1</v>
      </c>
      <c r="AX146" t="s">
        <v>74</v>
      </c>
      <c r="AY146" t="s">
        <v>74</v>
      </c>
      <c r="AZ146" t="s">
        <v>74</v>
      </c>
      <c r="BA146" t="s">
        <v>74</v>
      </c>
      <c r="BB146">
        <v>39</v>
      </c>
      <c r="BC146">
        <v>45</v>
      </c>
      <c r="BD146" t="s">
        <v>74</v>
      </c>
      <c r="BE146" t="s">
        <v>2400</v>
      </c>
      <c r="BF146" t="str">
        <f>HYPERLINK("http://dx.doi.org/10.1111/j.1462-2920.2006.01109.x","http://dx.doi.org/10.1111/j.1462-2920.2006.01109.x")</f>
        <v>http://dx.doi.org/10.1111/j.1462-2920.2006.01109.x</v>
      </c>
      <c r="BG146" t="s">
        <v>74</v>
      </c>
      <c r="BH146" t="s">
        <v>74</v>
      </c>
      <c r="BI146">
        <v>7</v>
      </c>
      <c r="BJ146" t="s">
        <v>2384</v>
      </c>
      <c r="BK146" t="s">
        <v>97</v>
      </c>
      <c r="BL146" t="s">
        <v>2384</v>
      </c>
      <c r="BM146" t="s">
        <v>2385</v>
      </c>
      <c r="BN146">
        <v>17227410</v>
      </c>
      <c r="BO146" t="s">
        <v>74</v>
      </c>
      <c r="BP146" t="s">
        <v>74</v>
      </c>
      <c r="BQ146" t="s">
        <v>74</v>
      </c>
      <c r="BR146" t="s">
        <v>100</v>
      </c>
      <c r="BS146" t="s">
        <v>2401</v>
      </c>
      <c r="BT146" t="str">
        <f>HYPERLINK("https%3A%2F%2Fwww.webofscience.com%2Fwos%2Fwoscc%2Ffull-record%2FWOS:000243294900013","View Full Record in Web of Science")</f>
        <v>View Full Record in Web of Science</v>
      </c>
    </row>
    <row r="147" spans="1:72" x14ac:dyDescent="0.15">
      <c r="A147" t="s">
        <v>72</v>
      </c>
      <c r="B147" t="s">
        <v>2402</v>
      </c>
      <c r="C147" t="s">
        <v>74</v>
      </c>
      <c r="D147" t="s">
        <v>74</v>
      </c>
      <c r="E147" t="s">
        <v>74</v>
      </c>
      <c r="F147" t="s">
        <v>2403</v>
      </c>
      <c r="G147" t="s">
        <v>74</v>
      </c>
      <c r="H147" t="s">
        <v>74</v>
      </c>
      <c r="I147" t="s">
        <v>2404</v>
      </c>
      <c r="J147" t="s">
        <v>2370</v>
      </c>
      <c r="K147" t="s">
        <v>74</v>
      </c>
      <c r="L147" t="s">
        <v>74</v>
      </c>
      <c r="M147" t="s">
        <v>78</v>
      </c>
      <c r="N147" t="s">
        <v>79</v>
      </c>
      <c r="O147" t="s">
        <v>74</v>
      </c>
      <c r="P147" t="s">
        <v>74</v>
      </c>
      <c r="Q147" t="s">
        <v>74</v>
      </c>
      <c r="R147" t="s">
        <v>74</v>
      </c>
      <c r="S147" t="s">
        <v>74</v>
      </c>
      <c r="T147" t="s">
        <v>74</v>
      </c>
      <c r="U147" t="s">
        <v>2405</v>
      </c>
      <c r="V147" t="s">
        <v>2406</v>
      </c>
      <c r="W147" t="s">
        <v>2407</v>
      </c>
      <c r="X147" t="s">
        <v>2408</v>
      </c>
      <c r="Y147" t="s">
        <v>2409</v>
      </c>
      <c r="Z147" t="s">
        <v>2410</v>
      </c>
      <c r="AA147" t="s">
        <v>2411</v>
      </c>
      <c r="AB147" t="s">
        <v>2412</v>
      </c>
      <c r="AC147" t="s">
        <v>74</v>
      </c>
      <c r="AD147" t="s">
        <v>74</v>
      </c>
      <c r="AE147" t="s">
        <v>74</v>
      </c>
      <c r="AF147" t="s">
        <v>74</v>
      </c>
      <c r="AG147">
        <v>37</v>
      </c>
      <c r="AH147">
        <v>54</v>
      </c>
      <c r="AI147">
        <v>68</v>
      </c>
      <c r="AJ147">
        <v>2</v>
      </c>
      <c r="AK147">
        <v>34</v>
      </c>
      <c r="AL147" t="s">
        <v>159</v>
      </c>
      <c r="AM147" t="s">
        <v>160</v>
      </c>
      <c r="AN147" t="s">
        <v>161</v>
      </c>
      <c r="AO147" t="s">
        <v>2379</v>
      </c>
      <c r="AP147" t="s">
        <v>2380</v>
      </c>
      <c r="AQ147" t="s">
        <v>74</v>
      </c>
      <c r="AR147" t="s">
        <v>2381</v>
      </c>
      <c r="AS147" t="s">
        <v>2382</v>
      </c>
      <c r="AT147" t="s">
        <v>661</v>
      </c>
      <c r="AU147">
        <v>2007</v>
      </c>
      <c r="AV147">
        <v>9</v>
      </c>
      <c r="AW147">
        <v>1</v>
      </c>
      <c r="AX147" t="s">
        <v>74</v>
      </c>
      <c r="AY147" t="s">
        <v>74</v>
      </c>
      <c r="AZ147" t="s">
        <v>74</v>
      </c>
      <c r="BA147" t="s">
        <v>74</v>
      </c>
      <c r="BB147">
        <v>250</v>
      </c>
      <c r="BC147">
        <v>255</v>
      </c>
      <c r="BD147" t="s">
        <v>74</v>
      </c>
      <c r="BE147" t="s">
        <v>2413</v>
      </c>
      <c r="BF147" t="str">
        <f>HYPERLINK("http://dx.doi.org/10.1111/j.1462-2920.2006.01135.x","http://dx.doi.org/10.1111/j.1462-2920.2006.01135.x")</f>
        <v>http://dx.doi.org/10.1111/j.1462-2920.2006.01135.x</v>
      </c>
      <c r="BG147" t="s">
        <v>74</v>
      </c>
      <c r="BH147" t="s">
        <v>74</v>
      </c>
      <c r="BI147">
        <v>6</v>
      </c>
      <c r="BJ147" t="s">
        <v>2384</v>
      </c>
      <c r="BK147" t="s">
        <v>97</v>
      </c>
      <c r="BL147" t="s">
        <v>2384</v>
      </c>
      <c r="BM147" t="s">
        <v>2385</v>
      </c>
      <c r="BN147">
        <v>17227429</v>
      </c>
      <c r="BO147" t="s">
        <v>74</v>
      </c>
      <c r="BP147" t="s">
        <v>74</v>
      </c>
      <c r="BQ147" t="s">
        <v>74</v>
      </c>
      <c r="BR147" t="s">
        <v>100</v>
      </c>
      <c r="BS147" t="s">
        <v>2414</v>
      </c>
      <c r="BT147" t="str">
        <f>HYPERLINK("https%3A%2F%2Fwww.webofscience.com%2Fwos%2Fwoscc%2Ffull-record%2FWOS:000243294900032","View Full Record in Web of Science")</f>
        <v>View Full Record in Web of Science</v>
      </c>
    </row>
    <row r="148" spans="1:72" x14ac:dyDescent="0.15">
      <c r="A148" t="s">
        <v>72</v>
      </c>
      <c r="B148" t="s">
        <v>2415</v>
      </c>
      <c r="C148" t="s">
        <v>74</v>
      </c>
      <c r="D148" t="s">
        <v>74</v>
      </c>
      <c r="E148" t="s">
        <v>74</v>
      </c>
      <c r="F148" t="s">
        <v>2416</v>
      </c>
      <c r="G148" t="s">
        <v>74</v>
      </c>
      <c r="H148" t="s">
        <v>74</v>
      </c>
      <c r="I148" t="s">
        <v>2417</v>
      </c>
      <c r="J148" t="s">
        <v>2418</v>
      </c>
      <c r="K148" t="s">
        <v>74</v>
      </c>
      <c r="L148" t="s">
        <v>74</v>
      </c>
      <c r="M148" t="s">
        <v>78</v>
      </c>
      <c r="N148" t="s">
        <v>79</v>
      </c>
      <c r="O148" t="s">
        <v>74</v>
      </c>
      <c r="P148" t="s">
        <v>74</v>
      </c>
      <c r="Q148" t="s">
        <v>74</v>
      </c>
      <c r="R148" t="s">
        <v>74</v>
      </c>
      <c r="S148" t="s">
        <v>74</v>
      </c>
      <c r="T148" t="s">
        <v>2419</v>
      </c>
      <c r="U148" t="s">
        <v>2420</v>
      </c>
      <c r="V148" t="s">
        <v>2421</v>
      </c>
      <c r="W148" t="s">
        <v>2422</v>
      </c>
      <c r="X148" t="s">
        <v>2423</v>
      </c>
      <c r="Y148" t="s">
        <v>2424</v>
      </c>
      <c r="Z148" t="s">
        <v>2425</v>
      </c>
      <c r="AA148" t="s">
        <v>2426</v>
      </c>
      <c r="AB148" t="s">
        <v>2427</v>
      </c>
      <c r="AC148" t="s">
        <v>74</v>
      </c>
      <c r="AD148" t="s">
        <v>74</v>
      </c>
      <c r="AE148" t="s">
        <v>74</v>
      </c>
      <c r="AF148" t="s">
        <v>74</v>
      </c>
      <c r="AG148">
        <v>71</v>
      </c>
      <c r="AH148">
        <v>23</v>
      </c>
      <c r="AI148">
        <v>24</v>
      </c>
      <c r="AJ148">
        <v>0</v>
      </c>
      <c r="AK148">
        <v>20</v>
      </c>
      <c r="AL148" t="s">
        <v>2428</v>
      </c>
      <c r="AM148" t="s">
        <v>2429</v>
      </c>
      <c r="AN148" t="s">
        <v>2430</v>
      </c>
      <c r="AO148" t="s">
        <v>2431</v>
      </c>
      <c r="AP148" t="s">
        <v>2432</v>
      </c>
      <c r="AQ148" t="s">
        <v>74</v>
      </c>
      <c r="AR148" t="s">
        <v>2433</v>
      </c>
      <c r="AS148" t="s">
        <v>2434</v>
      </c>
      <c r="AT148" t="s">
        <v>74</v>
      </c>
      <c r="AU148">
        <v>2007</v>
      </c>
      <c r="AV148">
        <v>42</v>
      </c>
      <c r="AW148">
        <v>1</v>
      </c>
      <c r="AX148" t="s">
        <v>74</v>
      </c>
      <c r="AY148" t="s">
        <v>74</v>
      </c>
      <c r="AZ148" t="s">
        <v>74</v>
      </c>
      <c r="BA148" t="s">
        <v>74</v>
      </c>
      <c r="BB148">
        <v>91</v>
      </c>
      <c r="BC148">
        <v>104</v>
      </c>
      <c r="BD148" t="s">
        <v>74</v>
      </c>
      <c r="BE148" t="s">
        <v>2435</v>
      </c>
      <c r="BF148" t="str">
        <f>HYPERLINK("http://dx.doi.org/10.1080/09670260600960850","http://dx.doi.org/10.1080/09670260600960850")</f>
        <v>http://dx.doi.org/10.1080/09670260600960850</v>
      </c>
      <c r="BG148" t="s">
        <v>74</v>
      </c>
      <c r="BH148" t="s">
        <v>74</v>
      </c>
      <c r="BI148">
        <v>14</v>
      </c>
      <c r="BJ148" t="s">
        <v>2436</v>
      </c>
      <c r="BK148" t="s">
        <v>97</v>
      </c>
      <c r="BL148" t="s">
        <v>2436</v>
      </c>
      <c r="BM148" t="s">
        <v>2437</v>
      </c>
      <c r="BN148" t="s">
        <v>74</v>
      </c>
      <c r="BO148" t="s">
        <v>74</v>
      </c>
      <c r="BP148" t="s">
        <v>74</v>
      </c>
      <c r="BQ148" t="s">
        <v>74</v>
      </c>
      <c r="BR148" t="s">
        <v>100</v>
      </c>
      <c r="BS148" t="s">
        <v>2438</v>
      </c>
      <c r="BT148" t="str">
        <f>HYPERLINK("https%3A%2F%2Fwww.webofscience.com%2Fwos%2Fwoscc%2Ffull-record%2FWOS:000245242200007","View Full Record in Web of Science")</f>
        <v>View Full Record in Web of Science</v>
      </c>
    </row>
    <row r="149" spans="1:72" x14ac:dyDescent="0.15">
      <c r="A149" t="s">
        <v>72</v>
      </c>
      <c r="B149" t="s">
        <v>2439</v>
      </c>
      <c r="C149" t="s">
        <v>74</v>
      </c>
      <c r="D149" t="s">
        <v>74</v>
      </c>
      <c r="E149" t="s">
        <v>74</v>
      </c>
      <c r="F149" t="s">
        <v>2440</v>
      </c>
      <c r="G149" t="s">
        <v>74</v>
      </c>
      <c r="H149" t="s">
        <v>74</v>
      </c>
      <c r="I149" t="s">
        <v>2441</v>
      </c>
      <c r="J149" t="s">
        <v>2418</v>
      </c>
      <c r="K149" t="s">
        <v>74</v>
      </c>
      <c r="L149" t="s">
        <v>74</v>
      </c>
      <c r="M149" t="s">
        <v>78</v>
      </c>
      <c r="N149" t="s">
        <v>79</v>
      </c>
      <c r="O149" t="s">
        <v>74</v>
      </c>
      <c r="P149" t="s">
        <v>74</v>
      </c>
      <c r="Q149" t="s">
        <v>74</v>
      </c>
      <c r="R149" t="s">
        <v>74</v>
      </c>
      <c r="S149" t="s">
        <v>74</v>
      </c>
      <c r="T149" t="s">
        <v>2442</v>
      </c>
      <c r="U149" t="s">
        <v>2443</v>
      </c>
      <c r="V149" t="s">
        <v>2444</v>
      </c>
      <c r="W149" t="s">
        <v>2445</v>
      </c>
      <c r="X149" t="s">
        <v>2446</v>
      </c>
      <c r="Y149" t="s">
        <v>2447</v>
      </c>
      <c r="Z149" t="s">
        <v>2448</v>
      </c>
      <c r="AA149" t="s">
        <v>2449</v>
      </c>
      <c r="AB149" t="s">
        <v>2450</v>
      </c>
      <c r="AC149" t="s">
        <v>74</v>
      </c>
      <c r="AD149" t="s">
        <v>74</v>
      </c>
      <c r="AE149" t="s">
        <v>74</v>
      </c>
      <c r="AF149" t="s">
        <v>74</v>
      </c>
      <c r="AG149">
        <v>56</v>
      </c>
      <c r="AH149">
        <v>22</v>
      </c>
      <c r="AI149">
        <v>25</v>
      </c>
      <c r="AJ149">
        <v>0</v>
      </c>
      <c r="AK149">
        <v>7</v>
      </c>
      <c r="AL149" t="s">
        <v>2428</v>
      </c>
      <c r="AM149" t="s">
        <v>2429</v>
      </c>
      <c r="AN149" t="s">
        <v>2430</v>
      </c>
      <c r="AO149" t="s">
        <v>2431</v>
      </c>
      <c r="AP149" t="s">
        <v>2432</v>
      </c>
      <c r="AQ149" t="s">
        <v>74</v>
      </c>
      <c r="AR149" t="s">
        <v>2433</v>
      </c>
      <c r="AS149" t="s">
        <v>2434</v>
      </c>
      <c r="AT149" t="s">
        <v>74</v>
      </c>
      <c r="AU149">
        <v>2007</v>
      </c>
      <c r="AV149">
        <v>42</v>
      </c>
      <c r="AW149">
        <v>3</v>
      </c>
      <c r="AX149" t="s">
        <v>74</v>
      </c>
      <c r="AY149" t="s">
        <v>74</v>
      </c>
      <c r="AZ149" t="s">
        <v>74</v>
      </c>
      <c r="BA149" t="s">
        <v>74</v>
      </c>
      <c r="BB149">
        <v>231</v>
      </c>
      <c r="BC149">
        <v>242</v>
      </c>
      <c r="BD149" t="s">
        <v>74</v>
      </c>
      <c r="BE149" t="s">
        <v>2451</v>
      </c>
      <c r="BF149" t="str">
        <f>HYPERLINK("http://dx.doi.org/10.1080/09670260701327702","http://dx.doi.org/10.1080/09670260701327702")</f>
        <v>http://dx.doi.org/10.1080/09670260701327702</v>
      </c>
      <c r="BG149" t="s">
        <v>74</v>
      </c>
      <c r="BH149" t="s">
        <v>74</v>
      </c>
      <c r="BI149">
        <v>12</v>
      </c>
      <c r="BJ149" t="s">
        <v>2436</v>
      </c>
      <c r="BK149" t="s">
        <v>97</v>
      </c>
      <c r="BL149" t="s">
        <v>2436</v>
      </c>
      <c r="BM149" t="s">
        <v>2452</v>
      </c>
      <c r="BN149" t="s">
        <v>74</v>
      </c>
      <c r="BO149" t="s">
        <v>74</v>
      </c>
      <c r="BP149" t="s">
        <v>74</v>
      </c>
      <c r="BQ149" t="s">
        <v>74</v>
      </c>
      <c r="BR149" t="s">
        <v>100</v>
      </c>
      <c r="BS149" t="s">
        <v>2453</v>
      </c>
      <c r="BT149" t="str">
        <f>HYPERLINK("https%3A%2F%2Fwww.webofscience.com%2Fwos%2Fwoscc%2Ffull-record%2FWOS:000249753600002","View Full Record in Web of Science")</f>
        <v>View Full Record in Web of Science</v>
      </c>
    </row>
    <row r="150" spans="1:72" x14ac:dyDescent="0.15">
      <c r="A150" t="s">
        <v>72</v>
      </c>
      <c r="B150" t="s">
        <v>2454</v>
      </c>
      <c r="C150" t="s">
        <v>74</v>
      </c>
      <c r="D150" t="s">
        <v>74</v>
      </c>
      <c r="E150" t="s">
        <v>74</v>
      </c>
      <c r="F150" t="s">
        <v>2455</v>
      </c>
      <c r="G150" t="s">
        <v>74</v>
      </c>
      <c r="H150" t="s">
        <v>74</v>
      </c>
      <c r="I150" t="s">
        <v>2456</v>
      </c>
      <c r="J150" t="s">
        <v>2457</v>
      </c>
      <c r="K150" t="s">
        <v>74</v>
      </c>
      <c r="L150" t="s">
        <v>74</v>
      </c>
      <c r="M150" t="s">
        <v>78</v>
      </c>
      <c r="N150" t="s">
        <v>79</v>
      </c>
      <c r="O150" t="s">
        <v>74</v>
      </c>
      <c r="P150" t="s">
        <v>74</v>
      </c>
      <c r="Q150" t="s">
        <v>74</v>
      </c>
      <c r="R150" t="s">
        <v>74</v>
      </c>
      <c r="S150" t="s">
        <v>74</v>
      </c>
      <c r="T150" t="s">
        <v>2458</v>
      </c>
      <c r="U150" t="s">
        <v>2459</v>
      </c>
      <c r="V150" t="s">
        <v>2460</v>
      </c>
      <c r="W150" t="s">
        <v>2461</v>
      </c>
      <c r="X150" t="s">
        <v>2462</v>
      </c>
      <c r="Y150" t="s">
        <v>2463</v>
      </c>
      <c r="Z150" t="s">
        <v>2464</v>
      </c>
      <c r="AA150" t="s">
        <v>2465</v>
      </c>
      <c r="AB150" t="s">
        <v>2466</v>
      </c>
      <c r="AC150" t="s">
        <v>74</v>
      </c>
      <c r="AD150" t="s">
        <v>74</v>
      </c>
      <c r="AE150" t="s">
        <v>74</v>
      </c>
      <c r="AF150" t="s">
        <v>74</v>
      </c>
      <c r="AG150">
        <v>75</v>
      </c>
      <c r="AH150">
        <v>74</v>
      </c>
      <c r="AI150">
        <v>91</v>
      </c>
      <c r="AJ150">
        <v>0</v>
      </c>
      <c r="AK150">
        <v>33</v>
      </c>
      <c r="AL150" t="s">
        <v>2467</v>
      </c>
      <c r="AM150" t="s">
        <v>818</v>
      </c>
      <c r="AN150" t="s">
        <v>2468</v>
      </c>
      <c r="AO150" t="s">
        <v>2469</v>
      </c>
      <c r="AP150" t="s">
        <v>2470</v>
      </c>
      <c r="AQ150" t="s">
        <v>74</v>
      </c>
      <c r="AR150" t="s">
        <v>2471</v>
      </c>
      <c r="AS150" t="s">
        <v>2472</v>
      </c>
      <c r="AT150" t="s">
        <v>661</v>
      </c>
      <c r="AU150">
        <v>2007</v>
      </c>
      <c r="AV150">
        <v>59</v>
      </c>
      <c r="AW150">
        <v>1</v>
      </c>
      <c r="AX150" t="s">
        <v>74</v>
      </c>
      <c r="AY150" t="s">
        <v>74</v>
      </c>
      <c r="AZ150" t="s">
        <v>74</v>
      </c>
      <c r="BA150" t="s">
        <v>74</v>
      </c>
      <c r="BB150">
        <v>81</v>
      </c>
      <c r="BC150">
        <v>94</v>
      </c>
      <c r="BD150" t="s">
        <v>74</v>
      </c>
      <c r="BE150" t="s">
        <v>2473</v>
      </c>
      <c r="BF150" t="str">
        <f>HYPERLINK("http://dx.doi.org/10.1111/j.1574-6941.2006.00195.x","http://dx.doi.org/10.1111/j.1574-6941.2006.00195.x")</f>
        <v>http://dx.doi.org/10.1111/j.1574-6941.2006.00195.x</v>
      </c>
      <c r="BG150" t="s">
        <v>74</v>
      </c>
      <c r="BH150" t="s">
        <v>74</v>
      </c>
      <c r="BI150">
        <v>14</v>
      </c>
      <c r="BJ150" t="s">
        <v>2384</v>
      </c>
      <c r="BK150" t="s">
        <v>97</v>
      </c>
      <c r="BL150" t="s">
        <v>2384</v>
      </c>
      <c r="BM150" t="s">
        <v>2474</v>
      </c>
      <c r="BN150">
        <v>17233746</v>
      </c>
      <c r="BO150" t="s">
        <v>124</v>
      </c>
      <c r="BP150" t="s">
        <v>74</v>
      </c>
      <c r="BQ150" t="s">
        <v>74</v>
      </c>
      <c r="BR150" t="s">
        <v>100</v>
      </c>
      <c r="BS150" t="s">
        <v>2475</v>
      </c>
      <c r="BT150" t="str">
        <f>HYPERLINK("https%3A%2F%2Fwww.webofscience.com%2Fwos%2Fwoscc%2Ffull-record%2FWOS:000242784700009","View Full Record in Web of Science")</f>
        <v>View Full Record in Web of Science</v>
      </c>
    </row>
    <row r="151" spans="1:72" x14ac:dyDescent="0.15">
      <c r="A151" t="s">
        <v>241</v>
      </c>
      <c r="B151" t="s">
        <v>2476</v>
      </c>
      <c r="C151" t="s">
        <v>74</v>
      </c>
      <c r="D151" t="s">
        <v>2477</v>
      </c>
      <c r="E151" t="s">
        <v>74</v>
      </c>
      <c r="F151" t="s">
        <v>2478</v>
      </c>
      <c r="G151" t="s">
        <v>74</v>
      </c>
      <c r="H151" t="s">
        <v>74</v>
      </c>
      <c r="I151" t="s">
        <v>2479</v>
      </c>
      <c r="J151" t="s">
        <v>2480</v>
      </c>
      <c r="K151" t="s">
        <v>694</v>
      </c>
      <c r="L151" t="s">
        <v>74</v>
      </c>
      <c r="M151" t="s">
        <v>78</v>
      </c>
      <c r="N151" t="s">
        <v>248</v>
      </c>
      <c r="O151" t="s">
        <v>2481</v>
      </c>
      <c r="P151" t="s">
        <v>2482</v>
      </c>
      <c r="Q151" t="s">
        <v>2483</v>
      </c>
      <c r="R151" t="s">
        <v>74</v>
      </c>
      <c r="S151" t="s">
        <v>74</v>
      </c>
      <c r="T151" t="s">
        <v>2484</v>
      </c>
      <c r="U151" t="s">
        <v>74</v>
      </c>
      <c r="V151" t="s">
        <v>2485</v>
      </c>
      <c r="W151" t="s">
        <v>2486</v>
      </c>
      <c r="X151" t="s">
        <v>2487</v>
      </c>
      <c r="Y151" t="s">
        <v>2488</v>
      </c>
      <c r="Z151" t="s">
        <v>2489</v>
      </c>
      <c r="AA151" t="s">
        <v>2490</v>
      </c>
      <c r="AB151" t="s">
        <v>2491</v>
      </c>
      <c r="AC151" t="s">
        <v>74</v>
      </c>
      <c r="AD151" t="s">
        <v>74</v>
      </c>
      <c r="AE151" t="s">
        <v>74</v>
      </c>
      <c r="AF151" t="s">
        <v>74</v>
      </c>
      <c r="AG151">
        <v>0</v>
      </c>
      <c r="AH151">
        <v>1</v>
      </c>
      <c r="AI151">
        <v>1</v>
      </c>
      <c r="AJ151">
        <v>0</v>
      </c>
      <c r="AK151">
        <v>2</v>
      </c>
      <c r="AL151" t="s">
        <v>704</v>
      </c>
      <c r="AM151" t="s">
        <v>705</v>
      </c>
      <c r="AN151" t="s">
        <v>706</v>
      </c>
      <c r="AO151" t="s">
        <v>707</v>
      </c>
      <c r="AP151" t="s">
        <v>74</v>
      </c>
      <c r="AQ151" t="s">
        <v>2492</v>
      </c>
      <c r="AR151" t="s">
        <v>709</v>
      </c>
      <c r="AS151" t="s">
        <v>74</v>
      </c>
      <c r="AT151" t="s">
        <v>74</v>
      </c>
      <c r="AU151">
        <v>2007</v>
      </c>
      <c r="AV151">
        <v>895</v>
      </c>
      <c r="AW151" t="s">
        <v>74</v>
      </c>
      <c r="AX151" t="s">
        <v>74</v>
      </c>
      <c r="AY151" t="s">
        <v>74</v>
      </c>
      <c r="AZ151" t="s">
        <v>74</v>
      </c>
      <c r="BA151" t="s">
        <v>74</v>
      </c>
      <c r="BB151">
        <v>195</v>
      </c>
      <c r="BC151" t="s">
        <v>617</v>
      </c>
      <c r="BD151" t="s">
        <v>74</v>
      </c>
      <c r="BE151" t="s">
        <v>74</v>
      </c>
      <c r="BF151" t="s">
        <v>74</v>
      </c>
      <c r="BG151" t="s">
        <v>74</v>
      </c>
      <c r="BH151" t="s">
        <v>74</v>
      </c>
      <c r="BI151">
        <v>2</v>
      </c>
      <c r="BJ151" t="s">
        <v>2493</v>
      </c>
      <c r="BK151" t="s">
        <v>266</v>
      </c>
      <c r="BL151" t="s">
        <v>2494</v>
      </c>
      <c r="BM151" t="s">
        <v>2495</v>
      </c>
      <c r="BN151" t="s">
        <v>74</v>
      </c>
      <c r="BO151" t="s">
        <v>74</v>
      </c>
      <c r="BP151" t="s">
        <v>74</v>
      </c>
      <c r="BQ151" t="s">
        <v>74</v>
      </c>
      <c r="BR151" t="s">
        <v>100</v>
      </c>
      <c r="BS151" t="s">
        <v>2496</v>
      </c>
      <c r="BT151" t="str">
        <f>HYPERLINK("https%3A%2F%2Fwww.webofscience.com%2Fwos%2Fwoscc%2Ffull-record%2FWOS:000246061300030","View Full Record in Web of Science")</f>
        <v>View Full Record in Web of Science</v>
      </c>
    </row>
    <row r="152" spans="1:72" x14ac:dyDescent="0.15">
      <c r="A152" t="s">
        <v>72</v>
      </c>
      <c r="B152" t="s">
        <v>2497</v>
      </c>
      <c r="C152" t="s">
        <v>74</v>
      </c>
      <c r="D152" t="s">
        <v>74</v>
      </c>
      <c r="E152" t="s">
        <v>74</v>
      </c>
      <c r="F152" t="s">
        <v>2498</v>
      </c>
      <c r="G152" t="s">
        <v>74</v>
      </c>
      <c r="H152" t="s">
        <v>74</v>
      </c>
      <c r="I152" t="s">
        <v>2499</v>
      </c>
      <c r="J152" t="s">
        <v>2500</v>
      </c>
      <c r="K152" t="s">
        <v>74</v>
      </c>
      <c r="L152" t="s">
        <v>74</v>
      </c>
      <c r="M152" t="s">
        <v>78</v>
      </c>
      <c r="N152" t="s">
        <v>79</v>
      </c>
      <c r="O152" t="s">
        <v>74</v>
      </c>
      <c r="P152" t="s">
        <v>74</v>
      </c>
      <c r="Q152" t="s">
        <v>74</v>
      </c>
      <c r="R152" t="s">
        <v>74</v>
      </c>
      <c r="S152" t="s">
        <v>74</v>
      </c>
      <c r="T152" t="s">
        <v>2501</v>
      </c>
      <c r="U152" t="s">
        <v>2502</v>
      </c>
      <c r="V152" t="s">
        <v>2503</v>
      </c>
      <c r="W152" t="s">
        <v>2504</v>
      </c>
      <c r="X152" t="s">
        <v>2505</v>
      </c>
      <c r="Y152" t="s">
        <v>2506</v>
      </c>
      <c r="Z152" t="s">
        <v>2507</v>
      </c>
      <c r="AA152" t="s">
        <v>2508</v>
      </c>
      <c r="AB152" t="s">
        <v>2509</v>
      </c>
      <c r="AC152" t="s">
        <v>74</v>
      </c>
      <c r="AD152" t="s">
        <v>74</v>
      </c>
      <c r="AE152" t="s">
        <v>74</v>
      </c>
      <c r="AF152" t="s">
        <v>74</v>
      </c>
      <c r="AG152">
        <v>57</v>
      </c>
      <c r="AH152">
        <v>26</v>
      </c>
      <c r="AI152">
        <v>30</v>
      </c>
      <c r="AJ152">
        <v>3</v>
      </c>
      <c r="AK152">
        <v>25</v>
      </c>
      <c r="AL152" t="s">
        <v>2510</v>
      </c>
      <c r="AM152" t="s">
        <v>2511</v>
      </c>
      <c r="AN152" t="s">
        <v>2512</v>
      </c>
      <c r="AO152" t="s">
        <v>2513</v>
      </c>
      <c r="AP152" t="s">
        <v>2514</v>
      </c>
      <c r="AQ152" t="s">
        <v>74</v>
      </c>
      <c r="AR152" t="s">
        <v>2500</v>
      </c>
      <c r="AS152" t="s">
        <v>2515</v>
      </c>
      <c r="AT152" t="s">
        <v>74</v>
      </c>
      <c r="AU152">
        <v>2007</v>
      </c>
      <c r="AV152">
        <v>202</v>
      </c>
      <c r="AW152">
        <v>1</v>
      </c>
      <c r="AX152" t="s">
        <v>74</v>
      </c>
      <c r="AY152" t="s">
        <v>74</v>
      </c>
      <c r="AZ152" t="s">
        <v>74</v>
      </c>
      <c r="BA152" t="s">
        <v>74</v>
      </c>
      <c r="BB152">
        <v>50</v>
      </c>
      <c r="BC152">
        <v>61</v>
      </c>
      <c r="BD152" t="s">
        <v>74</v>
      </c>
      <c r="BE152" t="s">
        <v>2516</v>
      </c>
      <c r="BF152" t="str">
        <f>HYPERLINK("http://dx.doi.org/10.1016/j.flora.2006.03.002","http://dx.doi.org/10.1016/j.flora.2006.03.002")</f>
        <v>http://dx.doi.org/10.1016/j.flora.2006.03.002</v>
      </c>
      <c r="BG152" t="s">
        <v>74</v>
      </c>
      <c r="BH152" t="s">
        <v>74</v>
      </c>
      <c r="BI152">
        <v>12</v>
      </c>
      <c r="BJ152" t="s">
        <v>2517</v>
      </c>
      <c r="BK152" t="s">
        <v>97</v>
      </c>
      <c r="BL152" t="s">
        <v>2518</v>
      </c>
      <c r="BM152" t="s">
        <v>2519</v>
      </c>
      <c r="BN152" t="s">
        <v>74</v>
      </c>
      <c r="BO152" t="s">
        <v>74</v>
      </c>
      <c r="BP152" t="s">
        <v>74</v>
      </c>
      <c r="BQ152" t="s">
        <v>74</v>
      </c>
      <c r="BR152" t="s">
        <v>100</v>
      </c>
      <c r="BS152" t="s">
        <v>2520</v>
      </c>
      <c r="BT152" t="str">
        <f>HYPERLINK("https%3A%2F%2Fwww.webofscience.com%2Fwos%2Fwoscc%2Ffull-record%2FWOS:000244247800003","View Full Record in Web of Science")</f>
        <v>View Full Record in Web of Science</v>
      </c>
    </row>
    <row r="153" spans="1:72" x14ac:dyDescent="0.15">
      <c r="A153" t="s">
        <v>72</v>
      </c>
      <c r="B153" t="s">
        <v>2521</v>
      </c>
      <c r="C153" t="s">
        <v>74</v>
      </c>
      <c r="D153" t="s">
        <v>74</v>
      </c>
      <c r="E153" t="s">
        <v>74</v>
      </c>
      <c r="F153" t="s">
        <v>2522</v>
      </c>
      <c r="G153" t="s">
        <v>74</v>
      </c>
      <c r="H153" t="s">
        <v>74</v>
      </c>
      <c r="I153" t="s">
        <v>2523</v>
      </c>
      <c r="J153" t="s">
        <v>2500</v>
      </c>
      <c r="K153" t="s">
        <v>74</v>
      </c>
      <c r="L153" t="s">
        <v>74</v>
      </c>
      <c r="M153" t="s">
        <v>78</v>
      </c>
      <c r="N153" t="s">
        <v>79</v>
      </c>
      <c r="O153" t="s">
        <v>74</v>
      </c>
      <c r="P153" t="s">
        <v>74</v>
      </c>
      <c r="Q153" t="s">
        <v>74</v>
      </c>
      <c r="R153" t="s">
        <v>74</v>
      </c>
      <c r="S153" t="s">
        <v>74</v>
      </c>
      <c r="T153" t="s">
        <v>2524</v>
      </c>
      <c r="U153" t="s">
        <v>2525</v>
      </c>
      <c r="V153" t="s">
        <v>2526</v>
      </c>
      <c r="W153" t="s">
        <v>2527</v>
      </c>
      <c r="X153" t="s">
        <v>2528</v>
      </c>
      <c r="Y153" t="s">
        <v>2529</v>
      </c>
      <c r="Z153" t="s">
        <v>2530</v>
      </c>
      <c r="AA153" t="s">
        <v>2531</v>
      </c>
      <c r="AB153" t="s">
        <v>2532</v>
      </c>
      <c r="AC153" t="s">
        <v>74</v>
      </c>
      <c r="AD153" t="s">
        <v>74</v>
      </c>
      <c r="AE153" t="s">
        <v>74</v>
      </c>
      <c r="AF153" t="s">
        <v>74</v>
      </c>
      <c r="AG153">
        <v>43</v>
      </c>
      <c r="AH153">
        <v>79</v>
      </c>
      <c r="AI153">
        <v>90</v>
      </c>
      <c r="AJ153">
        <v>2</v>
      </c>
      <c r="AK153">
        <v>45</v>
      </c>
      <c r="AL153" t="s">
        <v>2533</v>
      </c>
      <c r="AM153" t="s">
        <v>2534</v>
      </c>
      <c r="AN153" t="s">
        <v>2535</v>
      </c>
      <c r="AO153" t="s">
        <v>2513</v>
      </c>
      <c r="AP153" t="s">
        <v>74</v>
      </c>
      <c r="AQ153" t="s">
        <v>74</v>
      </c>
      <c r="AR153" t="s">
        <v>2500</v>
      </c>
      <c r="AS153" t="s">
        <v>2515</v>
      </c>
      <c r="AT153" t="s">
        <v>74</v>
      </c>
      <c r="AU153">
        <v>2007</v>
      </c>
      <c r="AV153">
        <v>202</v>
      </c>
      <c r="AW153">
        <v>8</v>
      </c>
      <c r="AX153" t="s">
        <v>74</v>
      </c>
      <c r="AY153" t="s">
        <v>74</v>
      </c>
      <c r="AZ153" t="s">
        <v>74</v>
      </c>
      <c r="BA153" t="s">
        <v>74</v>
      </c>
      <c r="BB153">
        <v>667</v>
      </c>
      <c r="BC153">
        <v>673</v>
      </c>
      <c r="BD153" t="s">
        <v>74</v>
      </c>
      <c r="BE153" t="s">
        <v>2536</v>
      </c>
      <c r="BF153" t="str">
        <f>HYPERLINK("http://dx.doi.org/10.1016/j.flora.2007.05.005","http://dx.doi.org/10.1016/j.flora.2007.05.005")</f>
        <v>http://dx.doi.org/10.1016/j.flora.2007.05.005</v>
      </c>
      <c r="BG153" t="s">
        <v>74</v>
      </c>
      <c r="BH153" t="s">
        <v>74</v>
      </c>
      <c r="BI153">
        <v>7</v>
      </c>
      <c r="BJ153" t="s">
        <v>2517</v>
      </c>
      <c r="BK153" t="s">
        <v>97</v>
      </c>
      <c r="BL153" t="s">
        <v>2518</v>
      </c>
      <c r="BM153" t="s">
        <v>2537</v>
      </c>
      <c r="BN153" t="s">
        <v>74</v>
      </c>
      <c r="BO153" t="s">
        <v>74</v>
      </c>
      <c r="BP153" t="s">
        <v>74</v>
      </c>
      <c r="BQ153" t="s">
        <v>74</v>
      </c>
      <c r="BR153" t="s">
        <v>100</v>
      </c>
      <c r="BS153" t="s">
        <v>2538</v>
      </c>
      <c r="BT153" t="str">
        <f>HYPERLINK("https%3A%2F%2Fwww.webofscience.com%2Fwos%2Fwoscc%2Ffull-record%2FWOS:000251059300009","View Full Record in Web of Science")</f>
        <v>View Full Record in Web of Science</v>
      </c>
    </row>
    <row r="154" spans="1:72" x14ac:dyDescent="0.15">
      <c r="A154" t="s">
        <v>241</v>
      </c>
      <c r="B154" t="s">
        <v>2539</v>
      </c>
      <c r="C154" t="s">
        <v>74</v>
      </c>
      <c r="D154" t="s">
        <v>2540</v>
      </c>
      <c r="E154" t="s">
        <v>74</v>
      </c>
      <c r="F154" t="s">
        <v>2541</v>
      </c>
      <c r="G154" t="s">
        <v>74</v>
      </c>
      <c r="H154" t="s">
        <v>74</v>
      </c>
      <c r="I154" t="s">
        <v>2542</v>
      </c>
      <c r="J154" t="s">
        <v>2543</v>
      </c>
      <c r="K154" t="s">
        <v>2544</v>
      </c>
      <c r="L154" t="s">
        <v>74</v>
      </c>
      <c r="M154" t="s">
        <v>78</v>
      </c>
      <c r="N154" t="s">
        <v>248</v>
      </c>
      <c r="O154" t="s">
        <v>2545</v>
      </c>
      <c r="P154" t="s">
        <v>2546</v>
      </c>
      <c r="Q154" t="s">
        <v>2547</v>
      </c>
      <c r="R154" t="s">
        <v>74</v>
      </c>
      <c r="S154" t="s">
        <v>74</v>
      </c>
      <c r="T154" t="s">
        <v>74</v>
      </c>
      <c r="U154" t="s">
        <v>74</v>
      </c>
      <c r="V154" t="s">
        <v>2548</v>
      </c>
      <c r="W154" t="s">
        <v>2549</v>
      </c>
      <c r="X154" t="s">
        <v>2550</v>
      </c>
      <c r="Y154" t="s">
        <v>2551</v>
      </c>
      <c r="Z154" t="s">
        <v>74</v>
      </c>
      <c r="AA154" t="s">
        <v>74</v>
      </c>
      <c r="AB154" t="s">
        <v>2552</v>
      </c>
      <c r="AC154" t="s">
        <v>2553</v>
      </c>
      <c r="AD154" t="s">
        <v>2554</v>
      </c>
      <c r="AE154" t="s">
        <v>2555</v>
      </c>
      <c r="AF154" t="s">
        <v>74</v>
      </c>
      <c r="AG154">
        <v>8</v>
      </c>
      <c r="AH154">
        <v>2</v>
      </c>
      <c r="AI154">
        <v>2</v>
      </c>
      <c r="AJ154">
        <v>0</v>
      </c>
      <c r="AK154">
        <v>2</v>
      </c>
      <c r="AL154" t="s">
        <v>2428</v>
      </c>
      <c r="AM154" t="s">
        <v>1197</v>
      </c>
      <c r="AN154" t="s">
        <v>2556</v>
      </c>
      <c r="AO154" t="s">
        <v>74</v>
      </c>
      <c r="AP154" t="s">
        <v>74</v>
      </c>
      <c r="AQ154" t="s">
        <v>2557</v>
      </c>
      <c r="AR154" t="s">
        <v>2558</v>
      </c>
      <c r="AS154" t="s">
        <v>74</v>
      </c>
      <c r="AT154" t="s">
        <v>74</v>
      </c>
      <c r="AU154">
        <v>2007</v>
      </c>
      <c r="AV154" t="s">
        <v>2559</v>
      </c>
      <c r="AW154" t="s">
        <v>74</v>
      </c>
      <c r="AX154" t="s">
        <v>74</v>
      </c>
      <c r="AY154" t="s">
        <v>74</v>
      </c>
      <c r="AZ154" t="s">
        <v>74</v>
      </c>
      <c r="BA154" t="s">
        <v>74</v>
      </c>
      <c r="BB154">
        <v>1683</v>
      </c>
      <c r="BC154" t="s">
        <v>617</v>
      </c>
      <c r="BD154" t="s">
        <v>74</v>
      </c>
      <c r="BE154" t="s">
        <v>74</v>
      </c>
      <c r="BF154" t="s">
        <v>74</v>
      </c>
      <c r="BG154" t="s">
        <v>74</v>
      </c>
      <c r="BH154" t="s">
        <v>74</v>
      </c>
      <c r="BI154">
        <v>3</v>
      </c>
      <c r="BJ154" t="s">
        <v>2560</v>
      </c>
      <c r="BK154" t="s">
        <v>266</v>
      </c>
      <c r="BL154" t="s">
        <v>2561</v>
      </c>
      <c r="BM154" t="s">
        <v>2562</v>
      </c>
      <c r="BN154" t="s">
        <v>74</v>
      </c>
      <c r="BO154" t="s">
        <v>74</v>
      </c>
      <c r="BP154" t="s">
        <v>74</v>
      </c>
      <c r="BQ154" t="s">
        <v>74</v>
      </c>
      <c r="BR154" t="s">
        <v>100</v>
      </c>
      <c r="BS154" t="s">
        <v>2563</v>
      </c>
      <c r="BT154" t="str">
        <f>HYPERLINK("https%3A%2F%2Fwww.webofscience.com%2Fwos%2Fwoscc%2Ffull-record%2FWOS:000252133100204","View Full Record in Web of Science")</f>
        <v>View Full Record in Web of Science</v>
      </c>
    </row>
    <row r="155" spans="1:72" x14ac:dyDescent="0.15">
      <c r="A155" t="s">
        <v>72</v>
      </c>
      <c r="B155" t="s">
        <v>2564</v>
      </c>
      <c r="C155" t="s">
        <v>74</v>
      </c>
      <c r="D155" t="s">
        <v>74</v>
      </c>
      <c r="E155" t="s">
        <v>74</v>
      </c>
      <c r="F155" t="s">
        <v>2565</v>
      </c>
      <c r="G155" t="s">
        <v>74</v>
      </c>
      <c r="H155" t="s">
        <v>74</v>
      </c>
      <c r="I155" t="s">
        <v>2566</v>
      </c>
      <c r="J155" t="s">
        <v>2567</v>
      </c>
      <c r="K155" t="s">
        <v>74</v>
      </c>
      <c r="L155" t="s">
        <v>74</v>
      </c>
      <c r="M155" t="s">
        <v>78</v>
      </c>
      <c r="N155" t="s">
        <v>52</v>
      </c>
      <c r="O155" t="s">
        <v>2568</v>
      </c>
      <c r="P155" t="s">
        <v>2569</v>
      </c>
      <c r="Q155" t="s">
        <v>2570</v>
      </c>
      <c r="R155" t="s">
        <v>74</v>
      </c>
      <c r="S155" t="s">
        <v>74</v>
      </c>
      <c r="T155" t="s">
        <v>74</v>
      </c>
      <c r="U155" t="s">
        <v>74</v>
      </c>
      <c r="V155" t="s">
        <v>74</v>
      </c>
      <c r="W155" t="s">
        <v>2571</v>
      </c>
      <c r="X155" t="s">
        <v>2572</v>
      </c>
      <c r="Y155" t="s">
        <v>74</v>
      </c>
      <c r="Z155" t="s">
        <v>74</v>
      </c>
      <c r="AA155" t="s">
        <v>2573</v>
      </c>
      <c r="AB155" t="s">
        <v>74</v>
      </c>
      <c r="AC155" t="s">
        <v>74</v>
      </c>
      <c r="AD155" t="s">
        <v>74</v>
      </c>
      <c r="AE155" t="s">
        <v>74</v>
      </c>
      <c r="AF155" t="s">
        <v>74</v>
      </c>
      <c r="AG155">
        <v>0</v>
      </c>
      <c r="AH155">
        <v>0</v>
      </c>
      <c r="AI155">
        <v>0</v>
      </c>
      <c r="AJ155">
        <v>0</v>
      </c>
      <c r="AK155">
        <v>1</v>
      </c>
      <c r="AL155" t="s">
        <v>838</v>
      </c>
      <c r="AM155" t="s">
        <v>678</v>
      </c>
      <c r="AN155" t="s">
        <v>839</v>
      </c>
      <c r="AO155" t="s">
        <v>2574</v>
      </c>
      <c r="AP155" t="s">
        <v>74</v>
      </c>
      <c r="AQ155" t="s">
        <v>74</v>
      </c>
      <c r="AR155" t="s">
        <v>2575</v>
      </c>
      <c r="AS155" t="s">
        <v>2576</v>
      </c>
      <c r="AT155" t="s">
        <v>74</v>
      </c>
      <c r="AU155">
        <v>2007</v>
      </c>
      <c r="AV155">
        <v>43</v>
      </c>
      <c r="AW155" t="s">
        <v>74</v>
      </c>
      <c r="AX155" t="s">
        <v>74</v>
      </c>
      <c r="AY155">
        <v>1</v>
      </c>
      <c r="AZ155" t="s">
        <v>74</v>
      </c>
      <c r="BA155" t="s">
        <v>74</v>
      </c>
      <c r="BB155" t="s">
        <v>2577</v>
      </c>
      <c r="BC155" t="s">
        <v>2577</v>
      </c>
      <c r="BD155" t="s">
        <v>74</v>
      </c>
      <c r="BE155" t="s">
        <v>74</v>
      </c>
      <c r="BF155" t="s">
        <v>74</v>
      </c>
      <c r="BG155" t="s">
        <v>74</v>
      </c>
      <c r="BH155" t="s">
        <v>74</v>
      </c>
      <c r="BI155">
        <v>1</v>
      </c>
      <c r="BJ155" t="s">
        <v>2578</v>
      </c>
      <c r="BK155" t="s">
        <v>1847</v>
      </c>
      <c r="BL155" t="s">
        <v>2578</v>
      </c>
      <c r="BM155" t="s">
        <v>2579</v>
      </c>
      <c r="BN155" t="s">
        <v>74</v>
      </c>
      <c r="BO155" t="s">
        <v>74</v>
      </c>
      <c r="BP155" t="s">
        <v>74</v>
      </c>
      <c r="BQ155" t="s">
        <v>74</v>
      </c>
      <c r="BR155" t="s">
        <v>100</v>
      </c>
      <c r="BS155" t="s">
        <v>2580</v>
      </c>
      <c r="BT155" t="str">
        <f>HYPERLINK("https%3A%2F%2Fwww.webofscience.com%2Fwos%2Fwoscc%2Ffull-record%2FWOS:000250835900234","View Full Record in Web of Science")</f>
        <v>View Full Record in Web of Science</v>
      </c>
    </row>
    <row r="156" spans="1:72" x14ac:dyDescent="0.15">
      <c r="A156" t="s">
        <v>241</v>
      </c>
      <c r="B156" t="s">
        <v>2581</v>
      </c>
      <c r="C156" t="s">
        <v>74</v>
      </c>
      <c r="D156" t="s">
        <v>2582</v>
      </c>
      <c r="E156" t="s">
        <v>74</v>
      </c>
      <c r="F156" t="s">
        <v>2583</v>
      </c>
      <c r="G156" t="s">
        <v>74</v>
      </c>
      <c r="H156" t="s">
        <v>74</v>
      </c>
      <c r="I156" t="s">
        <v>2584</v>
      </c>
      <c r="J156" t="s">
        <v>2585</v>
      </c>
      <c r="K156" t="s">
        <v>785</v>
      </c>
      <c r="L156" t="s">
        <v>74</v>
      </c>
      <c r="M156" t="s">
        <v>78</v>
      </c>
      <c r="N156" t="s">
        <v>248</v>
      </c>
      <c r="O156" t="s">
        <v>2586</v>
      </c>
      <c r="P156" t="s">
        <v>2587</v>
      </c>
      <c r="Q156" t="s">
        <v>2588</v>
      </c>
      <c r="R156" t="s">
        <v>74</v>
      </c>
      <c r="S156" t="s">
        <v>2589</v>
      </c>
      <c r="T156" t="s">
        <v>74</v>
      </c>
      <c r="U156" t="s">
        <v>2590</v>
      </c>
      <c r="V156" t="s">
        <v>2591</v>
      </c>
      <c r="W156" t="s">
        <v>2592</v>
      </c>
      <c r="X156" t="s">
        <v>2593</v>
      </c>
      <c r="Y156" t="s">
        <v>2594</v>
      </c>
      <c r="Z156" t="s">
        <v>74</v>
      </c>
      <c r="AA156" t="s">
        <v>74</v>
      </c>
      <c r="AB156" t="s">
        <v>2595</v>
      </c>
      <c r="AC156" t="s">
        <v>2596</v>
      </c>
      <c r="AD156" t="s">
        <v>2597</v>
      </c>
      <c r="AE156" t="s">
        <v>2598</v>
      </c>
      <c r="AF156" t="s">
        <v>74</v>
      </c>
      <c r="AG156">
        <v>18</v>
      </c>
      <c r="AH156">
        <v>0</v>
      </c>
      <c r="AI156">
        <v>0</v>
      </c>
      <c r="AJ156">
        <v>0</v>
      </c>
      <c r="AK156">
        <v>0</v>
      </c>
      <c r="AL156" t="s">
        <v>796</v>
      </c>
      <c r="AM156" t="s">
        <v>797</v>
      </c>
      <c r="AN156" t="s">
        <v>798</v>
      </c>
      <c r="AO156" t="s">
        <v>74</v>
      </c>
      <c r="AP156" t="s">
        <v>74</v>
      </c>
      <c r="AQ156" t="s">
        <v>2599</v>
      </c>
      <c r="AR156" t="s">
        <v>800</v>
      </c>
      <c r="AS156" t="s">
        <v>74</v>
      </c>
      <c r="AT156" t="s">
        <v>74</v>
      </c>
      <c r="AU156">
        <v>2007</v>
      </c>
      <c r="AV156">
        <v>375</v>
      </c>
      <c r="AW156" t="s">
        <v>74</v>
      </c>
      <c r="AX156" t="s">
        <v>74</v>
      </c>
      <c r="AY156" t="s">
        <v>74</v>
      </c>
      <c r="AZ156" t="s">
        <v>74</v>
      </c>
      <c r="BA156" t="s">
        <v>74</v>
      </c>
      <c r="BB156">
        <v>255</v>
      </c>
      <c r="BC156" t="s">
        <v>617</v>
      </c>
      <c r="BD156" t="s">
        <v>74</v>
      </c>
      <c r="BE156" t="s">
        <v>74</v>
      </c>
      <c r="BF156" t="s">
        <v>74</v>
      </c>
      <c r="BG156" t="s">
        <v>74</v>
      </c>
      <c r="BH156" t="s">
        <v>74</v>
      </c>
      <c r="BI156">
        <v>3</v>
      </c>
      <c r="BJ156" t="s">
        <v>801</v>
      </c>
      <c r="BK156" t="s">
        <v>266</v>
      </c>
      <c r="BL156" t="s">
        <v>801</v>
      </c>
      <c r="BM156" t="s">
        <v>2600</v>
      </c>
      <c r="BN156" t="s">
        <v>74</v>
      </c>
      <c r="BO156" t="s">
        <v>74</v>
      </c>
      <c r="BP156" t="s">
        <v>74</v>
      </c>
      <c r="BQ156" t="s">
        <v>74</v>
      </c>
      <c r="BR156" t="s">
        <v>100</v>
      </c>
      <c r="BS156" t="s">
        <v>2601</v>
      </c>
      <c r="BT156" t="str">
        <f>HYPERLINK("https%3A%2F%2Fwww.webofscience.com%2Fwos%2Fwoscc%2Ffull-record%2FWOS:000250716200034","View Full Record in Web of Science")</f>
        <v>View Full Record in Web of Science</v>
      </c>
    </row>
    <row r="157" spans="1:72" x14ac:dyDescent="0.15">
      <c r="A157" t="s">
        <v>72</v>
      </c>
      <c r="B157" t="s">
        <v>2602</v>
      </c>
      <c r="C157" t="s">
        <v>74</v>
      </c>
      <c r="D157" t="s">
        <v>74</v>
      </c>
      <c r="E157" t="s">
        <v>74</v>
      </c>
      <c r="F157" t="s">
        <v>2603</v>
      </c>
      <c r="G157" t="s">
        <v>74</v>
      </c>
      <c r="H157" t="s">
        <v>74</v>
      </c>
      <c r="I157" t="s">
        <v>2604</v>
      </c>
      <c r="J157" t="s">
        <v>2605</v>
      </c>
      <c r="K157" t="s">
        <v>74</v>
      </c>
      <c r="L157" t="s">
        <v>74</v>
      </c>
      <c r="M157" t="s">
        <v>78</v>
      </c>
      <c r="N157" t="s">
        <v>79</v>
      </c>
      <c r="O157" t="s">
        <v>74</v>
      </c>
      <c r="P157" t="s">
        <v>74</v>
      </c>
      <c r="Q157" t="s">
        <v>74</v>
      </c>
      <c r="R157" t="s">
        <v>74</v>
      </c>
      <c r="S157" t="s">
        <v>74</v>
      </c>
      <c r="T157" t="s">
        <v>2606</v>
      </c>
      <c r="U157" t="s">
        <v>74</v>
      </c>
      <c r="V157" t="s">
        <v>2607</v>
      </c>
      <c r="W157" t="s">
        <v>2608</v>
      </c>
      <c r="X157" t="s">
        <v>2609</v>
      </c>
      <c r="Y157" t="s">
        <v>2610</v>
      </c>
      <c r="Z157" t="s">
        <v>2611</v>
      </c>
      <c r="AA157" t="s">
        <v>2612</v>
      </c>
      <c r="AB157" t="s">
        <v>2613</v>
      </c>
      <c r="AC157" t="s">
        <v>2614</v>
      </c>
      <c r="AD157" t="s">
        <v>2615</v>
      </c>
      <c r="AE157" t="s">
        <v>2616</v>
      </c>
      <c r="AF157" t="s">
        <v>74</v>
      </c>
      <c r="AG157">
        <v>11</v>
      </c>
      <c r="AH157">
        <v>8</v>
      </c>
      <c r="AI157">
        <v>14</v>
      </c>
      <c r="AJ157">
        <v>0</v>
      </c>
      <c r="AK157">
        <v>4</v>
      </c>
      <c r="AL157" t="s">
        <v>2428</v>
      </c>
      <c r="AM157" t="s">
        <v>2429</v>
      </c>
      <c r="AN157" t="s">
        <v>2430</v>
      </c>
      <c r="AO157" t="s">
        <v>2617</v>
      </c>
      <c r="AP157" t="s">
        <v>2618</v>
      </c>
      <c r="AQ157" t="s">
        <v>74</v>
      </c>
      <c r="AR157" t="s">
        <v>2619</v>
      </c>
      <c r="AS157" t="s">
        <v>2620</v>
      </c>
      <c r="AT157" t="s">
        <v>74</v>
      </c>
      <c r="AU157">
        <v>2007</v>
      </c>
      <c r="AV157">
        <v>10</v>
      </c>
      <c r="AW157">
        <v>2</v>
      </c>
      <c r="AX157" t="s">
        <v>74</v>
      </c>
      <c r="AY157" t="s">
        <v>74</v>
      </c>
      <c r="AZ157" t="s">
        <v>74</v>
      </c>
      <c r="BA157" t="s">
        <v>74</v>
      </c>
      <c r="BB157">
        <v>117</v>
      </c>
      <c r="BC157">
        <v>120</v>
      </c>
      <c r="BD157" t="s">
        <v>74</v>
      </c>
      <c r="BE157" t="s">
        <v>2621</v>
      </c>
      <c r="BF157" t="str">
        <f>HYPERLINK("http://dx.doi.org/10.1007/s11806-007-0047-7","http://dx.doi.org/10.1007/s11806-007-0047-7")</f>
        <v>http://dx.doi.org/10.1007/s11806-007-0047-7</v>
      </c>
      <c r="BG157" t="s">
        <v>74</v>
      </c>
      <c r="BH157" t="s">
        <v>74</v>
      </c>
      <c r="BI157">
        <v>4</v>
      </c>
      <c r="BJ157" t="s">
        <v>2622</v>
      </c>
      <c r="BK157" t="s">
        <v>643</v>
      </c>
      <c r="BL157" t="s">
        <v>2622</v>
      </c>
      <c r="BM157" t="s">
        <v>2623</v>
      </c>
      <c r="BN157" t="s">
        <v>74</v>
      </c>
      <c r="BO157" t="s">
        <v>269</v>
      </c>
      <c r="BP157" t="s">
        <v>74</v>
      </c>
      <c r="BQ157" t="s">
        <v>74</v>
      </c>
      <c r="BR157" t="s">
        <v>100</v>
      </c>
      <c r="BS157" t="s">
        <v>2624</v>
      </c>
      <c r="BT157" t="str">
        <f>HYPERLINK("https%3A%2F%2Fwww.webofscience.com%2Fwos%2Fwoscc%2Ffull-record%2FWOS:000410060000008","View Full Record in Web of Science")</f>
        <v>View Full Record in Web of Science</v>
      </c>
    </row>
    <row r="158" spans="1:72" x14ac:dyDescent="0.15">
      <c r="A158" t="s">
        <v>72</v>
      </c>
      <c r="B158" t="s">
        <v>2625</v>
      </c>
      <c r="C158" t="s">
        <v>74</v>
      </c>
      <c r="D158" t="s">
        <v>74</v>
      </c>
      <c r="E158" t="s">
        <v>74</v>
      </c>
      <c r="F158" t="s">
        <v>2626</v>
      </c>
      <c r="G158" t="s">
        <v>74</v>
      </c>
      <c r="H158" t="s">
        <v>74</v>
      </c>
      <c r="I158" t="s">
        <v>2627</v>
      </c>
      <c r="J158" t="s">
        <v>2628</v>
      </c>
      <c r="K158" t="s">
        <v>74</v>
      </c>
      <c r="L158" t="s">
        <v>74</v>
      </c>
      <c r="M158" t="s">
        <v>78</v>
      </c>
      <c r="N158" t="s">
        <v>79</v>
      </c>
      <c r="O158" t="s">
        <v>74</v>
      </c>
      <c r="P158" t="s">
        <v>74</v>
      </c>
      <c r="Q158" t="s">
        <v>74</v>
      </c>
      <c r="R158" t="s">
        <v>74</v>
      </c>
      <c r="S158" t="s">
        <v>74</v>
      </c>
      <c r="T158" t="s">
        <v>74</v>
      </c>
      <c r="U158" t="s">
        <v>2629</v>
      </c>
      <c r="V158" t="s">
        <v>2630</v>
      </c>
      <c r="W158" t="s">
        <v>2631</v>
      </c>
      <c r="X158" t="s">
        <v>2632</v>
      </c>
      <c r="Y158" t="s">
        <v>2633</v>
      </c>
      <c r="Z158" t="s">
        <v>2634</v>
      </c>
      <c r="AA158" t="s">
        <v>74</v>
      </c>
      <c r="AB158" t="s">
        <v>74</v>
      </c>
      <c r="AC158" t="s">
        <v>74</v>
      </c>
      <c r="AD158" t="s">
        <v>74</v>
      </c>
      <c r="AE158" t="s">
        <v>74</v>
      </c>
      <c r="AF158" t="s">
        <v>74</v>
      </c>
      <c r="AG158">
        <v>44</v>
      </c>
      <c r="AH158">
        <v>46</v>
      </c>
      <c r="AI158">
        <v>51</v>
      </c>
      <c r="AJ158">
        <v>0</v>
      </c>
      <c r="AK158">
        <v>17</v>
      </c>
      <c r="AL158" t="s">
        <v>817</v>
      </c>
      <c r="AM158" t="s">
        <v>818</v>
      </c>
      <c r="AN158" t="s">
        <v>819</v>
      </c>
      <c r="AO158" t="s">
        <v>2635</v>
      </c>
      <c r="AP158" t="s">
        <v>2636</v>
      </c>
      <c r="AQ158" t="s">
        <v>74</v>
      </c>
      <c r="AR158" t="s">
        <v>2637</v>
      </c>
      <c r="AS158" t="s">
        <v>2638</v>
      </c>
      <c r="AT158" t="s">
        <v>2639</v>
      </c>
      <c r="AU158">
        <v>2007</v>
      </c>
      <c r="AV158">
        <v>71</v>
      </c>
      <c r="AW158">
        <v>1</v>
      </c>
      <c r="AX158" t="s">
        <v>74</v>
      </c>
      <c r="AY158" t="s">
        <v>74</v>
      </c>
      <c r="AZ158" t="s">
        <v>74</v>
      </c>
      <c r="BA158" t="s">
        <v>74</v>
      </c>
      <c r="BB158">
        <v>87</v>
      </c>
      <c r="BC158">
        <v>94</v>
      </c>
      <c r="BD158" t="s">
        <v>74</v>
      </c>
      <c r="BE158" t="s">
        <v>2640</v>
      </c>
      <c r="BF158" t="str">
        <f>HYPERLINK("http://dx.doi.org/10.1016/j.gca.2006.08.030","http://dx.doi.org/10.1016/j.gca.2006.08.030")</f>
        <v>http://dx.doi.org/10.1016/j.gca.2006.08.030</v>
      </c>
      <c r="BG158" t="s">
        <v>74</v>
      </c>
      <c r="BH158" t="s">
        <v>74</v>
      </c>
      <c r="BI158">
        <v>8</v>
      </c>
      <c r="BJ158" t="s">
        <v>865</v>
      </c>
      <c r="BK158" t="s">
        <v>97</v>
      </c>
      <c r="BL158" t="s">
        <v>865</v>
      </c>
      <c r="BM158" t="s">
        <v>2641</v>
      </c>
      <c r="BN158" t="s">
        <v>74</v>
      </c>
      <c r="BO158" t="s">
        <v>74</v>
      </c>
      <c r="BP158" t="s">
        <v>74</v>
      </c>
      <c r="BQ158" t="s">
        <v>74</v>
      </c>
      <c r="BR158" t="s">
        <v>100</v>
      </c>
      <c r="BS158" t="s">
        <v>2642</v>
      </c>
      <c r="BT158" t="str">
        <f>HYPERLINK("https%3A%2F%2Fwww.webofscience.com%2Fwos%2Fwoscc%2Ffull-record%2FWOS:000243334400007","View Full Record in Web of Science")</f>
        <v>View Full Record in Web of Science</v>
      </c>
    </row>
    <row r="159" spans="1:72" x14ac:dyDescent="0.15">
      <c r="A159" t="s">
        <v>72</v>
      </c>
      <c r="B159" t="s">
        <v>2643</v>
      </c>
      <c r="C159" t="s">
        <v>74</v>
      </c>
      <c r="D159" t="s">
        <v>74</v>
      </c>
      <c r="E159" t="s">
        <v>74</v>
      </c>
      <c r="F159" t="s">
        <v>2644</v>
      </c>
      <c r="G159" t="s">
        <v>74</v>
      </c>
      <c r="H159" t="s">
        <v>74</v>
      </c>
      <c r="I159" t="s">
        <v>2645</v>
      </c>
      <c r="J159" t="s">
        <v>2646</v>
      </c>
      <c r="K159" t="s">
        <v>74</v>
      </c>
      <c r="L159" t="s">
        <v>74</v>
      </c>
      <c r="M159" t="s">
        <v>78</v>
      </c>
      <c r="N159" t="s">
        <v>79</v>
      </c>
      <c r="O159" t="s">
        <v>74</v>
      </c>
      <c r="P159" t="s">
        <v>74</v>
      </c>
      <c r="Q159" t="s">
        <v>74</v>
      </c>
      <c r="R159" t="s">
        <v>74</v>
      </c>
      <c r="S159" t="s">
        <v>74</v>
      </c>
      <c r="T159" t="s">
        <v>2647</v>
      </c>
      <c r="U159" t="s">
        <v>2648</v>
      </c>
      <c r="V159" t="s">
        <v>2649</v>
      </c>
      <c r="W159" t="s">
        <v>2650</v>
      </c>
      <c r="X159" t="s">
        <v>2651</v>
      </c>
      <c r="Y159" t="s">
        <v>2652</v>
      </c>
      <c r="Z159" t="s">
        <v>2653</v>
      </c>
      <c r="AA159" t="s">
        <v>2654</v>
      </c>
      <c r="AB159" t="s">
        <v>2655</v>
      </c>
      <c r="AC159" t="s">
        <v>74</v>
      </c>
      <c r="AD159" t="s">
        <v>74</v>
      </c>
      <c r="AE159" t="s">
        <v>74</v>
      </c>
      <c r="AF159" t="s">
        <v>74</v>
      </c>
      <c r="AG159">
        <v>32</v>
      </c>
      <c r="AH159">
        <v>8</v>
      </c>
      <c r="AI159">
        <v>8</v>
      </c>
      <c r="AJ159">
        <v>0</v>
      </c>
      <c r="AK159">
        <v>7</v>
      </c>
      <c r="AL159" t="s">
        <v>2656</v>
      </c>
      <c r="AM159" t="s">
        <v>2657</v>
      </c>
      <c r="AN159" t="s">
        <v>2658</v>
      </c>
      <c r="AO159" t="s">
        <v>2659</v>
      </c>
      <c r="AP159" t="s">
        <v>2660</v>
      </c>
      <c r="AQ159" t="s">
        <v>74</v>
      </c>
      <c r="AR159" t="s">
        <v>2661</v>
      </c>
      <c r="AS159" t="s">
        <v>2662</v>
      </c>
      <c r="AT159" t="s">
        <v>74</v>
      </c>
      <c r="AU159">
        <v>2007</v>
      </c>
      <c r="AV159">
        <v>5</v>
      </c>
      <c r="AW159">
        <v>4</v>
      </c>
      <c r="AX159" t="s">
        <v>74</v>
      </c>
      <c r="AY159" t="s">
        <v>74</v>
      </c>
      <c r="AZ159" t="s">
        <v>74</v>
      </c>
      <c r="BA159" t="s">
        <v>74</v>
      </c>
      <c r="BB159">
        <v>295</v>
      </c>
      <c r="BC159">
        <v>306</v>
      </c>
      <c r="BD159" t="s">
        <v>74</v>
      </c>
      <c r="BE159" t="s">
        <v>74</v>
      </c>
      <c r="BF159" t="s">
        <v>74</v>
      </c>
      <c r="BG159" t="s">
        <v>74</v>
      </c>
      <c r="BH159" t="s">
        <v>74</v>
      </c>
      <c r="BI159">
        <v>12</v>
      </c>
      <c r="BJ159" t="s">
        <v>642</v>
      </c>
      <c r="BK159" t="s">
        <v>97</v>
      </c>
      <c r="BL159" t="s">
        <v>642</v>
      </c>
      <c r="BM159" t="s">
        <v>2663</v>
      </c>
      <c r="BN159" t="s">
        <v>74</v>
      </c>
      <c r="BO159" t="s">
        <v>74</v>
      </c>
      <c r="BP159" t="s">
        <v>74</v>
      </c>
      <c r="BQ159" t="s">
        <v>74</v>
      </c>
      <c r="BR159" t="s">
        <v>100</v>
      </c>
      <c r="BS159" t="s">
        <v>2664</v>
      </c>
      <c r="BT159" t="str">
        <f>HYPERLINK("https%3A%2F%2Fwww.webofscience.com%2Fwos%2Fwoscc%2Ffull-record%2FWOS:000252593600003","View Full Record in Web of Science")</f>
        <v>View Full Record in Web of Science</v>
      </c>
    </row>
    <row r="160" spans="1:72" x14ac:dyDescent="0.15">
      <c r="A160" t="s">
        <v>72</v>
      </c>
      <c r="B160" t="s">
        <v>2665</v>
      </c>
      <c r="C160" t="s">
        <v>74</v>
      </c>
      <c r="D160" t="s">
        <v>74</v>
      </c>
      <c r="E160" t="s">
        <v>74</v>
      </c>
      <c r="F160" t="s">
        <v>2666</v>
      </c>
      <c r="G160" t="s">
        <v>74</v>
      </c>
      <c r="H160" t="s">
        <v>74</v>
      </c>
      <c r="I160" t="s">
        <v>2667</v>
      </c>
      <c r="J160" t="s">
        <v>2646</v>
      </c>
      <c r="K160" t="s">
        <v>74</v>
      </c>
      <c r="L160" t="s">
        <v>74</v>
      </c>
      <c r="M160" t="s">
        <v>78</v>
      </c>
      <c r="N160" t="s">
        <v>79</v>
      </c>
      <c r="O160" t="s">
        <v>74</v>
      </c>
      <c r="P160" t="s">
        <v>74</v>
      </c>
      <c r="Q160" t="s">
        <v>74</v>
      </c>
      <c r="R160" t="s">
        <v>74</v>
      </c>
      <c r="S160" t="s">
        <v>74</v>
      </c>
      <c r="T160" t="s">
        <v>2668</v>
      </c>
      <c r="U160" t="s">
        <v>2669</v>
      </c>
      <c r="V160" t="s">
        <v>2670</v>
      </c>
      <c r="W160" t="s">
        <v>2671</v>
      </c>
      <c r="X160" t="s">
        <v>2672</v>
      </c>
      <c r="Y160" t="s">
        <v>2673</v>
      </c>
      <c r="Z160" t="s">
        <v>2674</v>
      </c>
      <c r="AA160" t="s">
        <v>2675</v>
      </c>
      <c r="AB160" t="s">
        <v>2676</v>
      </c>
      <c r="AC160" t="s">
        <v>74</v>
      </c>
      <c r="AD160" t="s">
        <v>74</v>
      </c>
      <c r="AE160" t="s">
        <v>74</v>
      </c>
      <c r="AF160" t="s">
        <v>74</v>
      </c>
      <c r="AG160">
        <v>47</v>
      </c>
      <c r="AH160">
        <v>5</v>
      </c>
      <c r="AI160">
        <v>5</v>
      </c>
      <c r="AJ160">
        <v>0</v>
      </c>
      <c r="AK160">
        <v>12</v>
      </c>
      <c r="AL160" t="s">
        <v>2656</v>
      </c>
      <c r="AM160" t="s">
        <v>2657</v>
      </c>
      <c r="AN160" t="s">
        <v>2658</v>
      </c>
      <c r="AO160" t="s">
        <v>2659</v>
      </c>
      <c r="AP160" t="s">
        <v>2660</v>
      </c>
      <c r="AQ160" t="s">
        <v>74</v>
      </c>
      <c r="AR160" t="s">
        <v>2661</v>
      </c>
      <c r="AS160" t="s">
        <v>2662</v>
      </c>
      <c r="AT160" t="s">
        <v>74</v>
      </c>
      <c r="AU160">
        <v>2007</v>
      </c>
      <c r="AV160">
        <v>5</v>
      </c>
      <c r="AW160">
        <v>4</v>
      </c>
      <c r="AX160" t="s">
        <v>74</v>
      </c>
      <c r="AY160" t="s">
        <v>74</v>
      </c>
      <c r="AZ160" t="s">
        <v>74</v>
      </c>
      <c r="BA160" t="s">
        <v>74</v>
      </c>
      <c r="BB160">
        <v>323</v>
      </c>
      <c r="BC160">
        <v>335</v>
      </c>
      <c r="BD160" t="s">
        <v>74</v>
      </c>
      <c r="BE160" t="s">
        <v>74</v>
      </c>
      <c r="BF160" t="s">
        <v>74</v>
      </c>
      <c r="BG160" t="s">
        <v>74</v>
      </c>
      <c r="BH160" t="s">
        <v>74</v>
      </c>
      <c r="BI160">
        <v>13</v>
      </c>
      <c r="BJ160" t="s">
        <v>642</v>
      </c>
      <c r="BK160" t="s">
        <v>97</v>
      </c>
      <c r="BL160" t="s">
        <v>642</v>
      </c>
      <c r="BM160" t="s">
        <v>2663</v>
      </c>
      <c r="BN160" t="s">
        <v>74</v>
      </c>
      <c r="BO160" t="s">
        <v>74</v>
      </c>
      <c r="BP160" t="s">
        <v>74</v>
      </c>
      <c r="BQ160" t="s">
        <v>74</v>
      </c>
      <c r="BR160" t="s">
        <v>100</v>
      </c>
      <c r="BS160" t="s">
        <v>2677</v>
      </c>
      <c r="BT160" t="str">
        <f>HYPERLINK("https%3A%2F%2Fwww.webofscience.com%2Fwos%2Fwoscc%2Ffull-record%2FWOS:000252593600006","View Full Record in Web of Science")</f>
        <v>View Full Record in Web of Science</v>
      </c>
    </row>
    <row r="161" spans="1:72" x14ac:dyDescent="0.15">
      <c r="A161" t="s">
        <v>72</v>
      </c>
      <c r="B161" t="s">
        <v>2678</v>
      </c>
      <c r="C161" t="s">
        <v>74</v>
      </c>
      <c r="D161" t="s">
        <v>74</v>
      </c>
      <c r="E161" t="s">
        <v>74</v>
      </c>
      <c r="F161" t="s">
        <v>2679</v>
      </c>
      <c r="G161" t="s">
        <v>74</v>
      </c>
      <c r="H161" t="s">
        <v>74</v>
      </c>
      <c r="I161" t="s">
        <v>2680</v>
      </c>
      <c r="J161" t="s">
        <v>2681</v>
      </c>
      <c r="K161" t="s">
        <v>74</v>
      </c>
      <c r="L161" t="s">
        <v>74</v>
      </c>
      <c r="M161" t="s">
        <v>78</v>
      </c>
      <c r="N161" t="s">
        <v>79</v>
      </c>
      <c r="O161" t="s">
        <v>74</v>
      </c>
      <c r="P161" t="s">
        <v>74</v>
      </c>
      <c r="Q161" t="s">
        <v>74</v>
      </c>
      <c r="R161" t="s">
        <v>74</v>
      </c>
      <c r="S161" t="s">
        <v>74</v>
      </c>
      <c r="T161" t="s">
        <v>2682</v>
      </c>
      <c r="U161" t="s">
        <v>2683</v>
      </c>
      <c r="V161" t="s">
        <v>2684</v>
      </c>
      <c r="W161" t="s">
        <v>2685</v>
      </c>
      <c r="X161" t="s">
        <v>2686</v>
      </c>
      <c r="Y161" t="s">
        <v>2687</v>
      </c>
      <c r="Z161" t="s">
        <v>2688</v>
      </c>
      <c r="AA161" t="s">
        <v>2689</v>
      </c>
      <c r="AB161" t="s">
        <v>2690</v>
      </c>
      <c r="AC161" t="s">
        <v>2691</v>
      </c>
      <c r="AD161" t="s">
        <v>1254</v>
      </c>
      <c r="AE161" t="s">
        <v>74</v>
      </c>
      <c r="AF161" t="s">
        <v>74</v>
      </c>
      <c r="AG161">
        <v>60</v>
      </c>
      <c r="AH161">
        <v>34</v>
      </c>
      <c r="AI161">
        <v>38</v>
      </c>
      <c r="AJ161">
        <v>0</v>
      </c>
      <c r="AK161">
        <v>7</v>
      </c>
      <c r="AL161" t="s">
        <v>221</v>
      </c>
      <c r="AM161" t="s">
        <v>678</v>
      </c>
      <c r="AN161" t="s">
        <v>2692</v>
      </c>
      <c r="AO161" t="s">
        <v>2693</v>
      </c>
      <c r="AP161" t="s">
        <v>2694</v>
      </c>
      <c r="AQ161" t="s">
        <v>74</v>
      </c>
      <c r="AR161" t="s">
        <v>2695</v>
      </c>
      <c r="AS161" t="s">
        <v>2696</v>
      </c>
      <c r="AT161" t="s">
        <v>661</v>
      </c>
      <c r="AU161">
        <v>2007</v>
      </c>
      <c r="AV161">
        <v>144</v>
      </c>
      <c r="AW161">
        <v>1</v>
      </c>
      <c r="AX161" t="s">
        <v>74</v>
      </c>
      <c r="AY161" t="s">
        <v>74</v>
      </c>
      <c r="AZ161" t="s">
        <v>74</v>
      </c>
      <c r="BA161" t="s">
        <v>74</v>
      </c>
      <c r="BB161">
        <v>179</v>
      </c>
      <c r="BC161">
        <v>190</v>
      </c>
      <c r="BD161" t="s">
        <v>74</v>
      </c>
      <c r="BE161" t="s">
        <v>2697</v>
      </c>
      <c r="BF161" t="str">
        <f>HYPERLINK("http://dx.doi.org/10.1017/S0016756806002925","http://dx.doi.org/10.1017/S0016756806002925")</f>
        <v>http://dx.doi.org/10.1017/S0016756806002925</v>
      </c>
      <c r="BG161" t="s">
        <v>74</v>
      </c>
      <c r="BH161" t="s">
        <v>74</v>
      </c>
      <c r="BI161">
        <v>12</v>
      </c>
      <c r="BJ161" t="s">
        <v>685</v>
      </c>
      <c r="BK161" t="s">
        <v>97</v>
      </c>
      <c r="BL161" t="s">
        <v>642</v>
      </c>
      <c r="BM161" t="s">
        <v>2698</v>
      </c>
      <c r="BN161" t="s">
        <v>74</v>
      </c>
      <c r="BO161" t="s">
        <v>74</v>
      </c>
      <c r="BP161" t="s">
        <v>74</v>
      </c>
      <c r="BQ161" t="s">
        <v>74</v>
      </c>
      <c r="BR161" t="s">
        <v>100</v>
      </c>
      <c r="BS161" t="s">
        <v>2699</v>
      </c>
      <c r="BT161" t="str">
        <f>HYPERLINK("https%3A%2F%2Fwww.webofscience.com%2Fwos%2Fwoscc%2Ffull-record%2FWOS:000244395200010","View Full Record in Web of Science")</f>
        <v>View Full Record in Web of Science</v>
      </c>
    </row>
    <row r="162" spans="1:72" x14ac:dyDescent="0.15">
      <c r="A162" t="s">
        <v>888</v>
      </c>
      <c r="B162" t="s">
        <v>2700</v>
      </c>
      <c r="C162" t="s">
        <v>74</v>
      </c>
      <c r="D162" t="s">
        <v>2701</v>
      </c>
      <c r="E162" t="s">
        <v>74</v>
      </c>
      <c r="F162" t="s">
        <v>2702</v>
      </c>
      <c r="G162" t="s">
        <v>74</v>
      </c>
      <c r="H162" t="s">
        <v>74</v>
      </c>
      <c r="I162" t="s">
        <v>2703</v>
      </c>
      <c r="J162" t="s">
        <v>2704</v>
      </c>
      <c r="K162" t="s">
        <v>1096</v>
      </c>
      <c r="L162" t="s">
        <v>74</v>
      </c>
      <c r="M162" t="s">
        <v>78</v>
      </c>
      <c r="N162" t="s">
        <v>219</v>
      </c>
      <c r="O162" t="s">
        <v>74</v>
      </c>
      <c r="P162" t="s">
        <v>74</v>
      </c>
      <c r="Q162" t="s">
        <v>74</v>
      </c>
      <c r="R162" t="s">
        <v>74</v>
      </c>
      <c r="S162" t="s">
        <v>74</v>
      </c>
      <c r="T162" t="s">
        <v>2705</v>
      </c>
      <c r="U162" t="s">
        <v>2706</v>
      </c>
      <c r="V162" t="s">
        <v>2707</v>
      </c>
      <c r="W162" t="s">
        <v>2708</v>
      </c>
      <c r="X162" t="s">
        <v>2709</v>
      </c>
      <c r="Y162" t="s">
        <v>2710</v>
      </c>
      <c r="Z162" t="s">
        <v>74</v>
      </c>
      <c r="AA162" t="s">
        <v>74</v>
      </c>
      <c r="AB162" t="s">
        <v>74</v>
      </c>
      <c r="AC162" t="s">
        <v>74</v>
      </c>
      <c r="AD162" t="s">
        <v>74</v>
      </c>
      <c r="AE162" t="s">
        <v>74</v>
      </c>
      <c r="AF162" t="s">
        <v>74</v>
      </c>
      <c r="AG162">
        <v>33</v>
      </c>
      <c r="AH162">
        <v>6</v>
      </c>
      <c r="AI162">
        <v>11</v>
      </c>
      <c r="AJ162">
        <v>0</v>
      </c>
      <c r="AK162">
        <v>1</v>
      </c>
      <c r="AL162" t="s">
        <v>1111</v>
      </c>
      <c r="AM162" t="s">
        <v>1112</v>
      </c>
      <c r="AN162" t="s">
        <v>1113</v>
      </c>
      <c r="AO162" t="s">
        <v>1114</v>
      </c>
      <c r="AP162" t="s">
        <v>74</v>
      </c>
      <c r="AQ162" t="s">
        <v>2711</v>
      </c>
      <c r="AR162" t="s">
        <v>1116</v>
      </c>
      <c r="AS162" t="s">
        <v>74</v>
      </c>
      <c r="AT162" t="s">
        <v>74</v>
      </c>
      <c r="AU162">
        <v>2007</v>
      </c>
      <c r="AV162">
        <v>427</v>
      </c>
      <c r="AW162" t="s">
        <v>74</v>
      </c>
      <c r="AX162" t="s">
        <v>74</v>
      </c>
      <c r="AY162" t="s">
        <v>74</v>
      </c>
      <c r="AZ162" t="s">
        <v>74</v>
      </c>
      <c r="BA162" t="s">
        <v>74</v>
      </c>
      <c r="BB162">
        <v>147</v>
      </c>
      <c r="BC162">
        <v>153</v>
      </c>
      <c r="BD162" t="s">
        <v>74</v>
      </c>
      <c r="BE162" t="s">
        <v>2712</v>
      </c>
      <c r="BF162" t="str">
        <f>HYPERLINK("http://dx.doi.org/10.1130/2007.2427(10)","http://dx.doi.org/10.1130/2007.2427(10)")</f>
        <v>http://dx.doi.org/10.1130/2007.2427(10)</v>
      </c>
      <c r="BG162" t="s">
        <v>74</v>
      </c>
      <c r="BH162" t="s">
        <v>74</v>
      </c>
      <c r="BI162">
        <v>7</v>
      </c>
      <c r="BJ162" t="s">
        <v>2713</v>
      </c>
      <c r="BK162" t="s">
        <v>238</v>
      </c>
      <c r="BL162" t="s">
        <v>2713</v>
      </c>
      <c r="BM162" t="s">
        <v>2714</v>
      </c>
      <c r="BN162" t="s">
        <v>74</v>
      </c>
      <c r="BO162" t="s">
        <v>74</v>
      </c>
      <c r="BP162" t="s">
        <v>74</v>
      </c>
      <c r="BQ162" t="s">
        <v>74</v>
      </c>
      <c r="BR162" t="s">
        <v>100</v>
      </c>
      <c r="BS162" t="s">
        <v>2715</v>
      </c>
      <c r="BT162" t="str">
        <f>HYPERLINK("https%3A%2F%2Fwww.webofscience.com%2Fwos%2Fwoscc%2Ffull-record%2FWOS:000271381000010","View Full Record in Web of Science")</f>
        <v>View Full Record in Web of Science</v>
      </c>
    </row>
    <row r="163" spans="1:72" x14ac:dyDescent="0.15">
      <c r="A163" t="s">
        <v>213</v>
      </c>
      <c r="B163" t="s">
        <v>2716</v>
      </c>
      <c r="C163" t="s">
        <v>74</v>
      </c>
      <c r="D163" t="s">
        <v>2717</v>
      </c>
      <c r="E163" t="s">
        <v>74</v>
      </c>
      <c r="F163" t="s">
        <v>2718</v>
      </c>
      <c r="G163" t="s">
        <v>74</v>
      </c>
      <c r="H163" t="s">
        <v>74</v>
      </c>
      <c r="I163" t="s">
        <v>2719</v>
      </c>
      <c r="J163" t="s">
        <v>2720</v>
      </c>
      <c r="K163" t="s">
        <v>2721</v>
      </c>
      <c r="L163" t="s">
        <v>74</v>
      </c>
      <c r="M163" t="s">
        <v>78</v>
      </c>
      <c r="N163" t="s">
        <v>219</v>
      </c>
      <c r="O163" t="s">
        <v>74</v>
      </c>
      <c r="P163" t="s">
        <v>74</v>
      </c>
      <c r="Q163" t="s">
        <v>74</v>
      </c>
      <c r="R163" t="s">
        <v>74</v>
      </c>
      <c r="S163" t="s">
        <v>74</v>
      </c>
      <c r="T163" t="s">
        <v>74</v>
      </c>
      <c r="U163" t="s">
        <v>2722</v>
      </c>
      <c r="V163" t="s">
        <v>74</v>
      </c>
      <c r="W163" t="s">
        <v>2723</v>
      </c>
      <c r="X163" t="s">
        <v>2724</v>
      </c>
      <c r="Y163" t="s">
        <v>2725</v>
      </c>
      <c r="Z163" t="s">
        <v>74</v>
      </c>
      <c r="AA163" t="s">
        <v>74</v>
      </c>
      <c r="AB163" t="s">
        <v>74</v>
      </c>
      <c r="AC163" t="s">
        <v>74</v>
      </c>
      <c r="AD163" t="s">
        <v>74</v>
      </c>
      <c r="AE163" t="s">
        <v>74</v>
      </c>
      <c r="AF163" t="s">
        <v>74</v>
      </c>
      <c r="AG163">
        <v>60</v>
      </c>
      <c r="AH163">
        <v>22</v>
      </c>
      <c r="AI163">
        <v>25</v>
      </c>
      <c r="AJ163">
        <v>0</v>
      </c>
      <c r="AK163">
        <v>1</v>
      </c>
      <c r="AL163" t="s">
        <v>221</v>
      </c>
      <c r="AM163" t="s">
        <v>222</v>
      </c>
      <c r="AN163" t="s">
        <v>223</v>
      </c>
      <c r="AO163" t="s">
        <v>74</v>
      </c>
      <c r="AP163" t="s">
        <v>74</v>
      </c>
      <c r="AQ163" t="s">
        <v>2726</v>
      </c>
      <c r="AR163" t="s">
        <v>2727</v>
      </c>
      <c r="AS163" t="s">
        <v>74</v>
      </c>
      <c r="AT163" t="s">
        <v>74</v>
      </c>
      <c r="AU163">
        <v>2007</v>
      </c>
      <c r="AV163" t="s">
        <v>74</v>
      </c>
      <c r="AW163">
        <v>5</v>
      </c>
      <c r="AX163" t="s">
        <v>74</v>
      </c>
      <c r="AY163" t="s">
        <v>74</v>
      </c>
      <c r="AZ163" t="s">
        <v>74</v>
      </c>
      <c r="BA163" t="s">
        <v>74</v>
      </c>
      <c r="BB163">
        <v>178</v>
      </c>
      <c r="BC163" t="s">
        <v>617</v>
      </c>
      <c r="BD163" t="s">
        <v>74</v>
      </c>
      <c r="BE163" t="s">
        <v>2728</v>
      </c>
      <c r="BF163" t="str">
        <f>HYPERLINK("http://dx.doi.org/10.1017/CBO9780511536014.008","http://dx.doi.org/10.1017/CBO9780511536014.008")</f>
        <v>http://dx.doi.org/10.1017/CBO9780511536014.008</v>
      </c>
      <c r="BG163" t="s">
        <v>2729</v>
      </c>
      <c r="BH163" t="s">
        <v>74</v>
      </c>
      <c r="BI163">
        <v>41</v>
      </c>
      <c r="BJ163" t="s">
        <v>2730</v>
      </c>
      <c r="BK163" t="s">
        <v>238</v>
      </c>
      <c r="BL163" t="s">
        <v>2731</v>
      </c>
      <c r="BM163" t="s">
        <v>2732</v>
      </c>
      <c r="BN163" t="s">
        <v>74</v>
      </c>
      <c r="BO163" t="s">
        <v>1384</v>
      </c>
      <c r="BP163" t="s">
        <v>74</v>
      </c>
      <c r="BQ163" t="s">
        <v>74</v>
      </c>
      <c r="BR163" t="s">
        <v>100</v>
      </c>
      <c r="BS163" t="s">
        <v>2733</v>
      </c>
      <c r="BT163" t="str">
        <f>HYPERLINK("https%3A%2F%2Fwww.webofscience.com%2Fwos%2Fwoscc%2Ffull-record%2FWOS:000297320800008","View Full Record in Web of Science")</f>
        <v>View Full Record in Web of Science</v>
      </c>
    </row>
    <row r="164" spans="1:72" x14ac:dyDescent="0.15">
      <c r="A164" t="s">
        <v>888</v>
      </c>
      <c r="B164" t="s">
        <v>2734</v>
      </c>
      <c r="C164" t="s">
        <v>74</v>
      </c>
      <c r="D164" t="s">
        <v>2735</v>
      </c>
      <c r="E164" t="s">
        <v>74</v>
      </c>
      <c r="F164" t="s">
        <v>2736</v>
      </c>
      <c r="G164" t="s">
        <v>74</v>
      </c>
      <c r="H164" t="s">
        <v>74</v>
      </c>
      <c r="I164" t="s">
        <v>2737</v>
      </c>
      <c r="J164" t="s">
        <v>2738</v>
      </c>
      <c r="K164" t="s">
        <v>2739</v>
      </c>
      <c r="L164" t="s">
        <v>74</v>
      </c>
      <c r="M164" t="s">
        <v>78</v>
      </c>
      <c r="N164" t="s">
        <v>219</v>
      </c>
      <c r="O164" t="s">
        <v>74</v>
      </c>
      <c r="P164" t="s">
        <v>74</v>
      </c>
      <c r="Q164" t="s">
        <v>74</v>
      </c>
      <c r="R164" t="s">
        <v>74</v>
      </c>
      <c r="S164" t="s">
        <v>74</v>
      </c>
      <c r="T164" t="s">
        <v>2740</v>
      </c>
      <c r="U164" t="s">
        <v>2741</v>
      </c>
      <c r="V164" t="s">
        <v>2742</v>
      </c>
      <c r="W164" t="s">
        <v>2743</v>
      </c>
      <c r="X164" t="s">
        <v>2744</v>
      </c>
      <c r="Y164" t="s">
        <v>2745</v>
      </c>
      <c r="Z164" t="s">
        <v>2746</v>
      </c>
      <c r="AA164" t="s">
        <v>2747</v>
      </c>
      <c r="AB164" t="s">
        <v>2748</v>
      </c>
      <c r="AC164" t="s">
        <v>74</v>
      </c>
      <c r="AD164" t="s">
        <v>74</v>
      </c>
      <c r="AE164" t="s">
        <v>74</v>
      </c>
      <c r="AF164" t="s">
        <v>74</v>
      </c>
      <c r="AG164">
        <v>21</v>
      </c>
      <c r="AH164">
        <v>19</v>
      </c>
      <c r="AI164">
        <v>22</v>
      </c>
      <c r="AJ164">
        <v>0</v>
      </c>
      <c r="AK164">
        <v>6</v>
      </c>
      <c r="AL164" t="s">
        <v>2749</v>
      </c>
      <c r="AM164" t="s">
        <v>2398</v>
      </c>
      <c r="AN164" t="s">
        <v>2750</v>
      </c>
      <c r="AO164" t="s">
        <v>2751</v>
      </c>
      <c r="AP164" t="s">
        <v>74</v>
      </c>
      <c r="AQ164" t="s">
        <v>2752</v>
      </c>
      <c r="AR164" t="s">
        <v>2753</v>
      </c>
      <c r="AS164" t="s">
        <v>74</v>
      </c>
      <c r="AT164" t="s">
        <v>74</v>
      </c>
      <c r="AU164">
        <v>2007</v>
      </c>
      <c r="AV164">
        <v>39</v>
      </c>
      <c r="AW164" t="s">
        <v>74</v>
      </c>
      <c r="AX164" t="s">
        <v>74</v>
      </c>
      <c r="AY164" t="s">
        <v>74</v>
      </c>
      <c r="AZ164" t="s">
        <v>74</v>
      </c>
      <c r="BA164" t="s">
        <v>74</v>
      </c>
      <c r="BB164">
        <v>3</v>
      </c>
      <c r="BC164">
        <v>10</v>
      </c>
      <c r="BD164" t="s">
        <v>74</v>
      </c>
      <c r="BE164" t="s">
        <v>74</v>
      </c>
      <c r="BF164" t="s">
        <v>74</v>
      </c>
      <c r="BG164" t="s">
        <v>2754</v>
      </c>
      <c r="BH164" t="s">
        <v>74</v>
      </c>
      <c r="BI164">
        <v>8</v>
      </c>
      <c r="BJ164" t="s">
        <v>642</v>
      </c>
      <c r="BK164" t="s">
        <v>238</v>
      </c>
      <c r="BL164" t="s">
        <v>642</v>
      </c>
      <c r="BM164" t="s">
        <v>2755</v>
      </c>
      <c r="BN164" t="s">
        <v>74</v>
      </c>
      <c r="BO164" t="s">
        <v>74</v>
      </c>
      <c r="BP164" t="s">
        <v>74</v>
      </c>
      <c r="BQ164" t="s">
        <v>74</v>
      </c>
      <c r="BR164" t="s">
        <v>100</v>
      </c>
      <c r="BS164" t="s">
        <v>2756</v>
      </c>
      <c r="BT164" t="str">
        <f>HYPERLINK("https%3A%2F%2Fwww.webofscience.com%2Fwos%2Fwoscc%2Ffull-record%2FWOS:000286655000004","View Full Record in Web of Science")</f>
        <v>View Full Record in Web of Science</v>
      </c>
    </row>
    <row r="165" spans="1:72" x14ac:dyDescent="0.15">
      <c r="A165" t="s">
        <v>888</v>
      </c>
      <c r="B165" t="s">
        <v>2757</v>
      </c>
      <c r="C165" t="s">
        <v>74</v>
      </c>
      <c r="D165" t="s">
        <v>2735</v>
      </c>
      <c r="E165" t="s">
        <v>74</v>
      </c>
      <c r="F165" t="s">
        <v>2758</v>
      </c>
      <c r="G165" t="s">
        <v>74</v>
      </c>
      <c r="H165" t="s">
        <v>74</v>
      </c>
      <c r="I165" t="s">
        <v>2759</v>
      </c>
      <c r="J165" t="s">
        <v>2738</v>
      </c>
      <c r="K165" t="s">
        <v>2739</v>
      </c>
      <c r="L165" t="s">
        <v>74</v>
      </c>
      <c r="M165" t="s">
        <v>78</v>
      </c>
      <c r="N165" t="s">
        <v>219</v>
      </c>
      <c r="O165" t="s">
        <v>74</v>
      </c>
      <c r="P165" t="s">
        <v>74</v>
      </c>
      <c r="Q165" t="s">
        <v>74</v>
      </c>
      <c r="R165" t="s">
        <v>74</v>
      </c>
      <c r="S165" t="s">
        <v>74</v>
      </c>
      <c r="T165" t="s">
        <v>2760</v>
      </c>
      <c r="U165" t="s">
        <v>2761</v>
      </c>
      <c r="V165" t="s">
        <v>2762</v>
      </c>
      <c r="W165" t="s">
        <v>2763</v>
      </c>
      <c r="X165" t="s">
        <v>2764</v>
      </c>
      <c r="Y165" t="s">
        <v>2765</v>
      </c>
      <c r="Z165" t="s">
        <v>2766</v>
      </c>
      <c r="AA165" t="s">
        <v>74</v>
      </c>
      <c r="AB165" t="s">
        <v>74</v>
      </c>
      <c r="AC165" t="s">
        <v>74</v>
      </c>
      <c r="AD165" t="s">
        <v>74</v>
      </c>
      <c r="AE165" t="s">
        <v>74</v>
      </c>
      <c r="AF165" t="s">
        <v>74</v>
      </c>
      <c r="AG165">
        <v>75</v>
      </c>
      <c r="AH165">
        <v>38</v>
      </c>
      <c r="AI165">
        <v>40</v>
      </c>
      <c r="AJ165">
        <v>0</v>
      </c>
      <c r="AK165">
        <v>5</v>
      </c>
      <c r="AL165" t="s">
        <v>2749</v>
      </c>
      <c r="AM165" t="s">
        <v>2398</v>
      </c>
      <c r="AN165" t="s">
        <v>2750</v>
      </c>
      <c r="AO165" t="s">
        <v>2751</v>
      </c>
      <c r="AP165" t="s">
        <v>74</v>
      </c>
      <c r="AQ165" t="s">
        <v>2767</v>
      </c>
      <c r="AR165" t="s">
        <v>2753</v>
      </c>
      <c r="AS165" t="s">
        <v>74</v>
      </c>
      <c r="AT165" t="s">
        <v>74</v>
      </c>
      <c r="AU165">
        <v>2007</v>
      </c>
      <c r="AV165">
        <v>39</v>
      </c>
      <c r="AW165" t="s">
        <v>74</v>
      </c>
      <c r="AX165" t="s">
        <v>74</v>
      </c>
      <c r="AY165" t="s">
        <v>74</v>
      </c>
      <c r="AZ165" t="s">
        <v>74</v>
      </c>
      <c r="BA165" t="s">
        <v>74</v>
      </c>
      <c r="BB165">
        <v>37</v>
      </c>
      <c r="BC165">
        <v>52</v>
      </c>
      <c r="BD165" t="s">
        <v>74</v>
      </c>
      <c r="BE165" t="s">
        <v>74</v>
      </c>
      <c r="BF165" t="s">
        <v>74</v>
      </c>
      <c r="BG165" t="s">
        <v>2754</v>
      </c>
      <c r="BH165" t="s">
        <v>74</v>
      </c>
      <c r="BI165">
        <v>16</v>
      </c>
      <c r="BJ165" t="s">
        <v>642</v>
      </c>
      <c r="BK165" t="s">
        <v>238</v>
      </c>
      <c r="BL165" t="s">
        <v>642</v>
      </c>
      <c r="BM165" t="s">
        <v>2755</v>
      </c>
      <c r="BN165" t="s">
        <v>74</v>
      </c>
      <c r="BO165" t="s">
        <v>74</v>
      </c>
      <c r="BP165" t="s">
        <v>74</v>
      </c>
      <c r="BQ165" t="s">
        <v>74</v>
      </c>
      <c r="BR165" t="s">
        <v>100</v>
      </c>
      <c r="BS165" t="s">
        <v>2768</v>
      </c>
      <c r="BT165" t="str">
        <f>HYPERLINK("https%3A%2F%2Fwww.webofscience.com%2Fwos%2Fwoscc%2Ffull-record%2FWOS:000286655000007","View Full Record in Web of Science")</f>
        <v>View Full Record in Web of Science</v>
      </c>
    </row>
    <row r="166" spans="1:72" x14ac:dyDescent="0.15">
      <c r="A166" t="s">
        <v>888</v>
      </c>
      <c r="B166" t="s">
        <v>2769</v>
      </c>
      <c r="C166" t="s">
        <v>74</v>
      </c>
      <c r="D166" t="s">
        <v>2735</v>
      </c>
      <c r="E166" t="s">
        <v>74</v>
      </c>
      <c r="F166" t="s">
        <v>2770</v>
      </c>
      <c r="G166" t="s">
        <v>74</v>
      </c>
      <c r="H166" t="s">
        <v>74</v>
      </c>
      <c r="I166" t="s">
        <v>2771</v>
      </c>
      <c r="J166" t="s">
        <v>2738</v>
      </c>
      <c r="K166" t="s">
        <v>2739</v>
      </c>
      <c r="L166" t="s">
        <v>74</v>
      </c>
      <c r="M166" t="s">
        <v>78</v>
      </c>
      <c r="N166" t="s">
        <v>2772</v>
      </c>
      <c r="O166" t="s">
        <v>74</v>
      </c>
      <c r="P166" t="s">
        <v>74</v>
      </c>
      <c r="Q166" t="s">
        <v>74</v>
      </c>
      <c r="R166" t="s">
        <v>74</v>
      </c>
      <c r="S166" t="s">
        <v>74</v>
      </c>
      <c r="T166" t="s">
        <v>2773</v>
      </c>
      <c r="U166" t="s">
        <v>2774</v>
      </c>
      <c r="V166" t="s">
        <v>2775</v>
      </c>
      <c r="W166" t="s">
        <v>2776</v>
      </c>
      <c r="X166" t="s">
        <v>2179</v>
      </c>
      <c r="Y166" t="s">
        <v>2745</v>
      </c>
      <c r="Z166" t="s">
        <v>2777</v>
      </c>
      <c r="AA166" t="s">
        <v>2778</v>
      </c>
      <c r="AB166" t="s">
        <v>2779</v>
      </c>
      <c r="AC166" t="s">
        <v>74</v>
      </c>
      <c r="AD166" t="s">
        <v>74</v>
      </c>
      <c r="AE166" t="s">
        <v>74</v>
      </c>
      <c r="AF166" t="s">
        <v>74</v>
      </c>
      <c r="AG166">
        <v>40</v>
      </c>
      <c r="AH166">
        <v>0</v>
      </c>
      <c r="AI166">
        <v>0</v>
      </c>
      <c r="AJ166">
        <v>0</v>
      </c>
      <c r="AK166">
        <v>0</v>
      </c>
      <c r="AL166" t="s">
        <v>2749</v>
      </c>
      <c r="AM166" t="s">
        <v>2398</v>
      </c>
      <c r="AN166" t="s">
        <v>2750</v>
      </c>
      <c r="AO166" t="s">
        <v>2751</v>
      </c>
      <c r="AP166" t="s">
        <v>74</v>
      </c>
      <c r="AQ166" t="s">
        <v>2752</v>
      </c>
      <c r="AR166" t="s">
        <v>2753</v>
      </c>
      <c r="AS166" t="s">
        <v>74</v>
      </c>
      <c r="AT166" t="s">
        <v>74</v>
      </c>
      <c r="AU166">
        <v>2007</v>
      </c>
      <c r="AV166">
        <v>39</v>
      </c>
      <c r="AW166" t="s">
        <v>74</v>
      </c>
      <c r="AX166" t="s">
        <v>74</v>
      </c>
      <c r="AY166" t="s">
        <v>74</v>
      </c>
      <c r="AZ166" t="s">
        <v>74</v>
      </c>
      <c r="BA166" t="s">
        <v>74</v>
      </c>
      <c r="BB166">
        <v>53</v>
      </c>
      <c r="BC166">
        <v>64</v>
      </c>
      <c r="BD166" t="s">
        <v>74</v>
      </c>
      <c r="BE166" t="s">
        <v>74</v>
      </c>
      <c r="BF166" t="s">
        <v>74</v>
      </c>
      <c r="BG166" t="s">
        <v>2754</v>
      </c>
      <c r="BH166" t="s">
        <v>74</v>
      </c>
      <c r="BI166">
        <v>12</v>
      </c>
      <c r="BJ166" t="s">
        <v>642</v>
      </c>
      <c r="BK166" t="s">
        <v>238</v>
      </c>
      <c r="BL166" t="s">
        <v>642</v>
      </c>
      <c r="BM166" t="s">
        <v>2755</v>
      </c>
      <c r="BN166" t="s">
        <v>74</v>
      </c>
      <c r="BO166" t="s">
        <v>74</v>
      </c>
      <c r="BP166" t="s">
        <v>74</v>
      </c>
      <c r="BQ166" t="s">
        <v>74</v>
      </c>
      <c r="BR166" t="s">
        <v>100</v>
      </c>
      <c r="BS166" t="s">
        <v>2780</v>
      </c>
      <c r="BT166" t="str">
        <f>HYPERLINK("https%3A%2F%2Fwww.webofscience.com%2Fwos%2Fwoscc%2Ffull-record%2FWOS:000286655000008","View Full Record in Web of Science")</f>
        <v>View Full Record in Web of Science</v>
      </c>
    </row>
    <row r="167" spans="1:72" x14ac:dyDescent="0.15">
      <c r="A167" t="s">
        <v>888</v>
      </c>
      <c r="B167" t="s">
        <v>2781</v>
      </c>
      <c r="C167" t="s">
        <v>74</v>
      </c>
      <c r="D167" t="s">
        <v>2735</v>
      </c>
      <c r="E167" t="s">
        <v>74</v>
      </c>
      <c r="F167" t="s">
        <v>2782</v>
      </c>
      <c r="G167" t="s">
        <v>74</v>
      </c>
      <c r="H167" t="s">
        <v>74</v>
      </c>
      <c r="I167" t="s">
        <v>2783</v>
      </c>
      <c r="J167" t="s">
        <v>2738</v>
      </c>
      <c r="K167" t="s">
        <v>2739</v>
      </c>
      <c r="L167" t="s">
        <v>74</v>
      </c>
      <c r="M167" t="s">
        <v>78</v>
      </c>
      <c r="N167" t="s">
        <v>219</v>
      </c>
      <c r="O167" t="s">
        <v>74</v>
      </c>
      <c r="P167" t="s">
        <v>74</v>
      </c>
      <c r="Q167" t="s">
        <v>74</v>
      </c>
      <c r="R167" t="s">
        <v>74</v>
      </c>
      <c r="S167" t="s">
        <v>74</v>
      </c>
      <c r="T167" t="s">
        <v>2784</v>
      </c>
      <c r="U167" t="s">
        <v>2785</v>
      </c>
      <c r="V167" t="s">
        <v>2786</v>
      </c>
      <c r="W167" t="s">
        <v>2787</v>
      </c>
      <c r="X167" t="s">
        <v>2788</v>
      </c>
      <c r="Y167" t="s">
        <v>74</v>
      </c>
      <c r="Z167" t="s">
        <v>2789</v>
      </c>
      <c r="AA167" t="s">
        <v>2790</v>
      </c>
      <c r="AB167" t="s">
        <v>2791</v>
      </c>
      <c r="AC167" t="s">
        <v>74</v>
      </c>
      <c r="AD167" t="s">
        <v>74</v>
      </c>
      <c r="AE167" t="s">
        <v>74</v>
      </c>
      <c r="AF167" t="s">
        <v>74</v>
      </c>
      <c r="AG167">
        <v>60</v>
      </c>
      <c r="AH167">
        <v>7</v>
      </c>
      <c r="AI167">
        <v>11</v>
      </c>
      <c r="AJ167">
        <v>0</v>
      </c>
      <c r="AK167">
        <v>1</v>
      </c>
      <c r="AL167" t="s">
        <v>2749</v>
      </c>
      <c r="AM167" t="s">
        <v>160</v>
      </c>
      <c r="AN167" t="s">
        <v>2792</v>
      </c>
      <c r="AO167" t="s">
        <v>2751</v>
      </c>
      <c r="AP167" t="s">
        <v>74</v>
      </c>
      <c r="AQ167" t="s">
        <v>2767</v>
      </c>
      <c r="AR167" t="s">
        <v>2753</v>
      </c>
      <c r="AS167" t="s">
        <v>74</v>
      </c>
      <c r="AT167" t="s">
        <v>74</v>
      </c>
      <c r="AU167">
        <v>2007</v>
      </c>
      <c r="AV167">
        <v>39</v>
      </c>
      <c r="AW167" t="s">
        <v>74</v>
      </c>
      <c r="AX167" t="s">
        <v>74</v>
      </c>
      <c r="AY167" t="s">
        <v>74</v>
      </c>
      <c r="AZ167" t="s">
        <v>74</v>
      </c>
      <c r="BA167" t="s">
        <v>74</v>
      </c>
      <c r="BB167">
        <v>67</v>
      </c>
      <c r="BC167">
        <v>84</v>
      </c>
      <c r="BD167" t="s">
        <v>74</v>
      </c>
      <c r="BE167" t="s">
        <v>74</v>
      </c>
      <c r="BF167" t="s">
        <v>74</v>
      </c>
      <c r="BG167" t="s">
        <v>2754</v>
      </c>
      <c r="BH167" t="s">
        <v>74</v>
      </c>
      <c r="BI167">
        <v>18</v>
      </c>
      <c r="BJ167" t="s">
        <v>642</v>
      </c>
      <c r="BK167" t="s">
        <v>238</v>
      </c>
      <c r="BL167" t="s">
        <v>642</v>
      </c>
      <c r="BM167" t="s">
        <v>2755</v>
      </c>
      <c r="BN167" t="s">
        <v>74</v>
      </c>
      <c r="BO167" t="s">
        <v>74</v>
      </c>
      <c r="BP167" t="s">
        <v>74</v>
      </c>
      <c r="BQ167" t="s">
        <v>74</v>
      </c>
      <c r="BR167" t="s">
        <v>100</v>
      </c>
      <c r="BS167" t="s">
        <v>2793</v>
      </c>
      <c r="BT167" t="str">
        <f>HYPERLINK("https%3A%2F%2Fwww.webofscience.com%2Fwos%2Fwoscc%2Ffull-record%2FWOS:000286655000009","View Full Record in Web of Science")</f>
        <v>View Full Record in Web of Science</v>
      </c>
    </row>
    <row r="168" spans="1:72" x14ac:dyDescent="0.15">
      <c r="A168" t="s">
        <v>888</v>
      </c>
      <c r="B168" t="s">
        <v>2794</v>
      </c>
      <c r="C168" t="s">
        <v>74</v>
      </c>
      <c r="D168" t="s">
        <v>2735</v>
      </c>
      <c r="E168" t="s">
        <v>74</v>
      </c>
      <c r="F168" t="s">
        <v>2795</v>
      </c>
      <c r="G168" t="s">
        <v>74</v>
      </c>
      <c r="H168" t="s">
        <v>74</v>
      </c>
      <c r="I168" t="s">
        <v>2796</v>
      </c>
      <c r="J168" t="s">
        <v>2738</v>
      </c>
      <c r="K168" t="s">
        <v>2739</v>
      </c>
      <c r="L168" t="s">
        <v>74</v>
      </c>
      <c r="M168" t="s">
        <v>78</v>
      </c>
      <c r="N168" t="s">
        <v>219</v>
      </c>
      <c r="O168" t="s">
        <v>74</v>
      </c>
      <c r="P168" t="s">
        <v>74</v>
      </c>
      <c r="Q168" t="s">
        <v>74</v>
      </c>
      <c r="R168" t="s">
        <v>74</v>
      </c>
      <c r="S168" t="s">
        <v>74</v>
      </c>
      <c r="T168" t="s">
        <v>2797</v>
      </c>
      <c r="U168" t="s">
        <v>2798</v>
      </c>
      <c r="V168" t="s">
        <v>2799</v>
      </c>
      <c r="W168" t="s">
        <v>2800</v>
      </c>
      <c r="X168" t="s">
        <v>653</v>
      </c>
      <c r="Y168" t="s">
        <v>2801</v>
      </c>
      <c r="Z168" t="s">
        <v>2802</v>
      </c>
      <c r="AA168" t="s">
        <v>74</v>
      </c>
      <c r="AB168" t="s">
        <v>74</v>
      </c>
      <c r="AC168" t="s">
        <v>74</v>
      </c>
      <c r="AD168" t="s">
        <v>74</v>
      </c>
      <c r="AE168" t="s">
        <v>74</v>
      </c>
      <c r="AF168" t="s">
        <v>74</v>
      </c>
      <c r="AG168">
        <v>121</v>
      </c>
      <c r="AH168">
        <v>55</v>
      </c>
      <c r="AI168">
        <v>61</v>
      </c>
      <c r="AJ168">
        <v>0</v>
      </c>
      <c r="AK168">
        <v>6</v>
      </c>
      <c r="AL168" t="s">
        <v>2749</v>
      </c>
      <c r="AM168" t="s">
        <v>160</v>
      </c>
      <c r="AN168" t="s">
        <v>2792</v>
      </c>
      <c r="AO168" t="s">
        <v>2751</v>
      </c>
      <c r="AP168" t="s">
        <v>74</v>
      </c>
      <c r="AQ168" t="s">
        <v>2767</v>
      </c>
      <c r="AR168" t="s">
        <v>2753</v>
      </c>
      <c r="AS168" t="s">
        <v>74</v>
      </c>
      <c r="AT168" t="s">
        <v>74</v>
      </c>
      <c r="AU168">
        <v>2007</v>
      </c>
      <c r="AV168">
        <v>39</v>
      </c>
      <c r="AW168" t="s">
        <v>74</v>
      </c>
      <c r="AX168" t="s">
        <v>74</v>
      </c>
      <c r="AY168" t="s">
        <v>74</v>
      </c>
      <c r="AZ168" t="s">
        <v>74</v>
      </c>
      <c r="BA168" t="s">
        <v>74</v>
      </c>
      <c r="BB168">
        <v>259</v>
      </c>
      <c r="BC168">
        <v>287</v>
      </c>
      <c r="BD168" t="s">
        <v>74</v>
      </c>
      <c r="BE168" t="s">
        <v>74</v>
      </c>
      <c r="BF168" t="s">
        <v>74</v>
      </c>
      <c r="BG168" t="s">
        <v>2754</v>
      </c>
      <c r="BH168" t="s">
        <v>74</v>
      </c>
      <c r="BI168">
        <v>29</v>
      </c>
      <c r="BJ168" t="s">
        <v>642</v>
      </c>
      <c r="BK168" t="s">
        <v>238</v>
      </c>
      <c r="BL168" t="s">
        <v>642</v>
      </c>
      <c r="BM168" t="s">
        <v>2755</v>
      </c>
      <c r="BN168" t="s">
        <v>74</v>
      </c>
      <c r="BO168" t="s">
        <v>74</v>
      </c>
      <c r="BP168" t="s">
        <v>74</v>
      </c>
      <c r="BQ168" t="s">
        <v>74</v>
      </c>
      <c r="BR168" t="s">
        <v>100</v>
      </c>
      <c r="BS168" t="s">
        <v>2803</v>
      </c>
      <c r="BT168" t="str">
        <f>HYPERLINK("https%3A%2F%2Fwww.webofscience.com%2Fwos%2Fwoscc%2Ffull-record%2FWOS:000286655000018","View Full Record in Web of Science")</f>
        <v>View Full Record in Web of Science</v>
      </c>
    </row>
    <row r="169" spans="1:72" x14ac:dyDescent="0.15">
      <c r="A169" t="s">
        <v>888</v>
      </c>
      <c r="B169" t="s">
        <v>2804</v>
      </c>
      <c r="C169" t="s">
        <v>74</v>
      </c>
      <c r="D169" t="s">
        <v>2735</v>
      </c>
      <c r="E169" t="s">
        <v>74</v>
      </c>
      <c r="F169" t="s">
        <v>2805</v>
      </c>
      <c r="G169" t="s">
        <v>74</v>
      </c>
      <c r="H169" t="s">
        <v>74</v>
      </c>
      <c r="I169" t="s">
        <v>2806</v>
      </c>
      <c r="J169" t="s">
        <v>2738</v>
      </c>
      <c r="K169" t="s">
        <v>2739</v>
      </c>
      <c r="L169" t="s">
        <v>74</v>
      </c>
      <c r="M169" t="s">
        <v>78</v>
      </c>
      <c r="N169" t="s">
        <v>219</v>
      </c>
      <c r="O169" t="s">
        <v>74</v>
      </c>
      <c r="P169" t="s">
        <v>74</v>
      </c>
      <c r="Q169" t="s">
        <v>74</v>
      </c>
      <c r="R169" t="s">
        <v>74</v>
      </c>
      <c r="S169" t="s">
        <v>74</v>
      </c>
      <c r="T169" t="s">
        <v>2807</v>
      </c>
      <c r="U169" t="s">
        <v>2808</v>
      </c>
      <c r="V169" t="s">
        <v>2809</v>
      </c>
      <c r="W169" t="s">
        <v>2810</v>
      </c>
      <c r="X169" t="s">
        <v>2811</v>
      </c>
      <c r="Y169" t="s">
        <v>2812</v>
      </c>
      <c r="Z169" t="s">
        <v>2813</v>
      </c>
      <c r="AA169" t="s">
        <v>2814</v>
      </c>
      <c r="AB169" t="s">
        <v>2815</v>
      </c>
      <c r="AC169" t="s">
        <v>74</v>
      </c>
      <c r="AD169" t="s">
        <v>74</v>
      </c>
      <c r="AE169" t="s">
        <v>74</v>
      </c>
      <c r="AF169" t="s">
        <v>74</v>
      </c>
      <c r="AG169">
        <v>99</v>
      </c>
      <c r="AH169">
        <v>112</v>
      </c>
      <c r="AI169">
        <v>117</v>
      </c>
      <c r="AJ169">
        <v>0</v>
      </c>
      <c r="AK169">
        <v>3</v>
      </c>
      <c r="AL169" t="s">
        <v>2749</v>
      </c>
      <c r="AM169" t="s">
        <v>2398</v>
      </c>
      <c r="AN169" t="s">
        <v>2750</v>
      </c>
      <c r="AO169" t="s">
        <v>2751</v>
      </c>
      <c r="AP169" t="s">
        <v>74</v>
      </c>
      <c r="AQ169" t="s">
        <v>2767</v>
      </c>
      <c r="AR169" t="s">
        <v>2753</v>
      </c>
      <c r="AS169" t="s">
        <v>74</v>
      </c>
      <c r="AT169" t="s">
        <v>74</v>
      </c>
      <c r="AU169">
        <v>2007</v>
      </c>
      <c r="AV169">
        <v>39</v>
      </c>
      <c r="AW169" t="s">
        <v>74</v>
      </c>
      <c r="AX169" t="s">
        <v>74</v>
      </c>
      <c r="AY169" t="s">
        <v>74</v>
      </c>
      <c r="AZ169" t="s">
        <v>74</v>
      </c>
      <c r="BA169" t="s">
        <v>74</v>
      </c>
      <c r="BB169">
        <v>295</v>
      </c>
      <c r="BC169">
        <v>319</v>
      </c>
      <c r="BD169" t="s">
        <v>74</v>
      </c>
      <c r="BE169" t="s">
        <v>74</v>
      </c>
      <c r="BF169" t="s">
        <v>74</v>
      </c>
      <c r="BG169" t="s">
        <v>2754</v>
      </c>
      <c r="BH169" t="s">
        <v>74</v>
      </c>
      <c r="BI169">
        <v>25</v>
      </c>
      <c r="BJ169" t="s">
        <v>642</v>
      </c>
      <c r="BK169" t="s">
        <v>238</v>
      </c>
      <c r="BL169" t="s">
        <v>642</v>
      </c>
      <c r="BM169" t="s">
        <v>2755</v>
      </c>
      <c r="BN169" t="s">
        <v>74</v>
      </c>
      <c r="BO169" t="s">
        <v>74</v>
      </c>
      <c r="BP169" t="s">
        <v>74</v>
      </c>
      <c r="BQ169" t="s">
        <v>74</v>
      </c>
      <c r="BR169" t="s">
        <v>100</v>
      </c>
      <c r="BS169" t="s">
        <v>2816</v>
      </c>
      <c r="BT169" t="str">
        <f>HYPERLINK("https%3A%2F%2Fwww.webofscience.com%2Fwos%2Fwoscc%2Ffull-record%2FWOS:000286655000020","View Full Record in Web of Science")</f>
        <v>View Full Record in Web of Science</v>
      </c>
    </row>
    <row r="170" spans="1:72" x14ac:dyDescent="0.15">
      <c r="A170" t="s">
        <v>72</v>
      </c>
      <c r="B170" t="s">
        <v>2817</v>
      </c>
      <c r="C170" t="s">
        <v>74</v>
      </c>
      <c r="D170" t="s">
        <v>74</v>
      </c>
      <c r="E170" t="s">
        <v>74</v>
      </c>
      <c r="F170" t="s">
        <v>2818</v>
      </c>
      <c r="G170" t="s">
        <v>74</v>
      </c>
      <c r="H170" t="s">
        <v>74</v>
      </c>
      <c r="I170" t="s">
        <v>2819</v>
      </c>
      <c r="J170" t="s">
        <v>2820</v>
      </c>
      <c r="K170" t="s">
        <v>74</v>
      </c>
      <c r="L170" t="s">
        <v>74</v>
      </c>
      <c r="M170" t="s">
        <v>78</v>
      </c>
      <c r="N170" t="s">
        <v>176</v>
      </c>
      <c r="O170" t="s">
        <v>2821</v>
      </c>
      <c r="P170" t="s">
        <v>1098</v>
      </c>
      <c r="Q170" t="s">
        <v>1099</v>
      </c>
      <c r="R170" t="s">
        <v>74</v>
      </c>
      <c r="S170" t="s">
        <v>74</v>
      </c>
      <c r="T170" t="s">
        <v>2822</v>
      </c>
      <c r="U170" t="s">
        <v>2823</v>
      </c>
      <c r="V170" t="s">
        <v>2824</v>
      </c>
      <c r="W170" t="s">
        <v>2825</v>
      </c>
      <c r="X170" t="s">
        <v>2826</v>
      </c>
      <c r="Y170" t="s">
        <v>2827</v>
      </c>
      <c r="Z170" t="s">
        <v>2828</v>
      </c>
      <c r="AA170" t="s">
        <v>74</v>
      </c>
      <c r="AB170" t="s">
        <v>74</v>
      </c>
      <c r="AC170" t="s">
        <v>74</v>
      </c>
      <c r="AD170" t="s">
        <v>74</v>
      </c>
      <c r="AE170" t="s">
        <v>74</v>
      </c>
      <c r="AF170" t="s">
        <v>74</v>
      </c>
      <c r="AG170">
        <v>166</v>
      </c>
      <c r="AH170">
        <v>29</v>
      </c>
      <c r="AI170">
        <v>33</v>
      </c>
      <c r="AJ170">
        <v>1</v>
      </c>
      <c r="AK170">
        <v>21</v>
      </c>
      <c r="AL170" t="s">
        <v>2829</v>
      </c>
      <c r="AM170" t="s">
        <v>903</v>
      </c>
      <c r="AN170" t="s">
        <v>2830</v>
      </c>
      <c r="AO170" t="s">
        <v>2831</v>
      </c>
      <c r="AP170" t="s">
        <v>2832</v>
      </c>
      <c r="AQ170" t="s">
        <v>74</v>
      </c>
      <c r="AR170" t="s">
        <v>2833</v>
      </c>
      <c r="AS170" t="s">
        <v>2834</v>
      </c>
      <c r="AT170" t="s">
        <v>661</v>
      </c>
      <c r="AU170">
        <v>2007</v>
      </c>
      <c r="AV170">
        <v>55</v>
      </c>
      <c r="AW170" t="s">
        <v>2559</v>
      </c>
      <c r="AX170" t="s">
        <v>74</v>
      </c>
      <c r="AY170" t="s">
        <v>74</v>
      </c>
      <c r="AZ170" t="s">
        <v>74</v>
      </c>
      <c r="BA170" t="s">
        <v>74</v>
      </c>
      <c r="BB170">
        <v>90</v>
      </c>
      <c r="BC170">
        <v>108</v>
      </c>
      <c r="BD170" t="s">
        <v>74</v>
      </c>
      <c r="BE170" t="s">
        <v>2835</v>
      </c>
      <c r="BF170" t="str">
        <f>HYPERLINK("http://dx.doi.org/10.1016/j.gloplacha.2006.06.017","http://dx.doi.org/10.1016/j.gloplacha.2006.06.017")</f>
        <v>http://dx.doi.org/10.1016/j.gloplacha.2006.06.017</v>
      </c>
      <c r="BG170" t="s">
        <v>74</v>
      </c>
      <c r="BH170" t="s">
        <v>74</v>
      </c>
      <c r="BI170">
        <v>19</v>
      </c>
      <c r="BJ170" t="s">
        <v>663</v>
      </c>
      <c r="BK170" t="s">
        <v>197</v>
      </c>
      <c r="BL170" t="s">
        <v>664</v>
      </c>
      <c r="BM170" t="s">
        <v>2836</v>
      </c>
      <c r="BN170" t="s">
        <v>74</v>
      </c>
      <c r="BO170" t="s">
        <v>74</v>
      </c>
      <c r="BP170" t="s">
        <v>74</v>
      </c>
      <c r="BQ170" t="s">
        <v>74</v>
      </c>
      <c r="BR170" t="s">
        <v>100</v>
      </c>
      <c r="BS170" t="s">
        <v>2837</v>
      </c>
      <c r="BT170" t="str">
        <f>HYPERLINK("https%3A%2F%2Fwww.webofscience.com%2Fwos%2Fwoscc%2Ffull-record%2FWOS:000243983900008","View Full Record in Web of Science")</f>
        <v>View Full Record in Web of Science</v>
      </c>
    </row>
    <row r="171" spans="1:72" x14ac:dyDescent="0.15">
      <c r="A171" t="s">
        <v>888</v>
      </c>
      <c r="B171" t="s">
        <v>2838</v>
      </c>
      <c r="C171" t="s">
        <v>74</v>
      </c>
      <c r="D171" t="s">
        <v>2839</v>
      </c>
      <c r="E171" t="s">
        <v>74</v>
      </c>
      <c r="F171" t="s">
        <v>2840</v>
      </c>
      <c r="G171" t="s">
        <v>74</v>
      </c>
      <c r="H171" t="s">
        <v>74</v>
      </c>
      <c r="I171" t="s">
        <v>2841</v>
      </c>
      <c r="J171" t="s">
        <v>2842</v>
      </c>
      <c r="K171" t="s">
        <v>2843</v>
      </c>
      <c r="L171" t="s">
        <v>74</v>
      </c>
      <c r="M171" t="s">
        <v>78</v>
      </c>
      <c r="N171" t="s">
        <v>219</v>
      </c>
      <c r="O171" t="s">
        <v>74</v>
      </c>
      <c r="P171" t="s">
        <v>74</v>
      </c>
      <c r="Q171" t="s">
        <v>74</v>
      </c>
      <c r="R171" t="s">
        <v>74</v>
      </c>
      <c r="S171" t="s">
        <v>74</v>
      </c>
      <c r="T171" t="s">
        <v>74</v>
      </c>
      <c r="U171" t="s">
        <v>2844</v>
      </c>
      <c r="V171" t="s">
        <v>74</v>
      </c>
      <c r="W171" t="s">
        <v>2845</v>
      </c>
      <c r="X171" t="s">
        <v>2846</v>
      </c>
      <c r="Y171" t="s">
        <v>2847</v>
      </c>
      <c r="Z171" t="s">
        <v>2848</v>
      </c>
      <c r="AA171" t="s">
        <v>2849</v>
      </c>
      <c r="AB171" t="s">
        <v>2850</v>
      </c>
      <c r="AC171" t="s">
        <v>74</v>
      </c>
      <c r="AD171" t="s">
        <v>74</v>
      </c>
      <c r="AE171" t="s">
        <v>74</v>
      </c>
      <c r="AF171" t="s">
        <v>74</v>
      </c>
      <c r="AG171">
        <v>134</v>
      </c>
      <c r="AH171">
        <v>45</v>
      </c>
      <c r="AI171">
        <v>47</v>
      </c>
      <c r="AJ171">
        <v>0</v>
      </c>
      <c r="AK171">
        <v>6</v>
      </c>
      <c r="AL171" t="s">
        <v>2851</v>
      </c>
      <c r="AM171" t="s">
        <v>903</v>
      </c>
      <c r="AN171" t="s">
        <v>2852</v>
      </c>
      <c r="AO171" t="s">
        <v>2853</v>
      </c>
      <c r="AP171" t="s">
        <v>74</v>
      </c>
      <c r="AQ171" t="s">
        <v>2854</v>
      </c>
      <c r="AR171" t="s">
        <v>2855</v>
      </c>
      <c r="AS171" t="s">
        <v>2856</v>
      </c>
      <c r="AT171" t="s">
        <v>74</v>
      </c>
      <c r="AU171">
        <v>2007</v>
      </c>
      <c r="AV171">
        <v>69</v>
      </c>
      <c r="AW171" t="s">
        <v>74</v>
      </c>
      <c r="AX171" t="s">
        <v>74</v>
      </c>
      <c r="AY171" t="s">
        <v>74</v>
      </c>
      <c r="AZ171" t="s">
        <v>74</v>
      </c>
      <c r="BA171" t="s">
        <v>74</v>
      </c>
      <c r="BB171">
        <v>267</v>
      </c>
      <c r="BC171">
        <v>285</v>
      </c>
      <c r="BD171" t="s">
        <v>74</v>
      </c>
      <c r="BE171" t="s">
        <v>74</v>
      </c>
      <c r="BF171" t="s">
        <v>74</v>
      </c>
      <c r="BG171" t="s">
        <v>74</v>
      </c>
      <c r="BH171" t="s">
        <v>74</v>
      </c>
      <c r="BI171">
        <v>19</v>
      </c>
      <c r="BJ171" t="s">
        <v>2857</v>
      </c>
      <c r="BK171" t="s">
        <v>238</v>
      </c>
      <c r="BL171" t="s">
        <v>2858</v>
      </c>
      <c r="BM171" t="s">
        <v>2859</v>
      </c>
      <c r="BN171" t="s">
        <v>74</v>
      </c>
      <c r="BO171" t="s">
        <v>74</v>
      </c>
      <c r="BP171" t="s">
        <v>74</v>
      </c>
      <c r="BQ171" t="s">
        <v>74</v>
      </c>
      <c r="BR171" t="s">
        <v>100</v>
      </c>
      <c r="BS171" t="s">
        <v>2860</v>
      </c>
      <c r="BT171" t="str">
        <f>HYPERLINK("https%3A%2F%2Fwww.webofscience.com%2Fwos%2Fwoscc%2Ffull-record%2FWOS:000271698300017","View Full Record in Web of Science")</f>
        <v>View Full Record in Web of Science</v>
      </c>
    </row>
    <row r="172" spans="1:72" x14ac:dyDescent="0.15">
      <c r="A172" t="s">
        <v>72</v>
      </c>
      <c r="B172" t="s">
        <v>2861</v>
      </c>
      <c r="C172" t="s">
        <v>74</v>
      </c>
      <c r="D172" t="s">
        <v>74</v>
      </c>
      <c r="E172" t="s">
        <v>74</v>
      </c>
      <c r="F172" t="s">
        <v>2862</v>
      </c>
      <c r="G172" t="s">
        <v>74</v>
      </c>
      <c r="H172" t="s">
        <v>74</v>
      </c>
      <c r="I172" t="s">
        <v>2863</v>
      </c>
      <c r="J172" t="s">
        <v>2864</v>
      </c>
      <c r="K172" t="s">
        <v>74</v>
      </c>
      <c r="L172" t="s">
        <v>74</v>
      </c>
      <c r="M172" t="s">
        <v>1223</v>
      </c>
      <c r="N172" t="s">
        <v>79</v>
      </c>
      <c r="O172" t="s">
        <v>74</v>
      </c>
      <c r="P172" t="s">
        <v>74</v>
      </c>
      <c r="Q172" t="s">
        <v>74</v>
      </c>
      <c r="R172" t="s">
        <v>74</v>
      </c>
      <c r="S172" t="s">
        <v>74</v>
      </c>
      <c r="T172" t="s">
        <v>74</v>
      </c>
      <c r="U172" t="s">
        <v>2865</v>
      </c>
      <c r="V172" t="s">
        <v>2866</v>
      </c>
      <c r="W172" t="s">
        <v>2867</v>
      </c>
      <c r="X172" t="s">
        <v>2868</v>
      </c>
      <c r="Y172" t="s">
        <v>2869</v>
      </c>
      <c r="Z172" t="s">
        <v>2870</v>
      </c>
      <c r="AA172" t="s">
        <v>2871</v>
      </c>
      <c r="AB172" t="s">
        <v>2872</v>
      </c>
      <c r="AC172" t="s">
        <v>74</v>
      </c>
      <c r="AD172" t="s">
        <v>74</v>
      </c>
      <c r="AE172" t="s">
        <v>74</v>
      </c>
      <c r="AF172" t="s">
        <v>74</v>
      </c>
      <c r="AG172">
        <v>56</v>
      </c>
      <c r="AH172">
        <v>3</v>
      </c>
      <c r="AI172">
        <v>3</v>
      </c>
      <c r="AJ172">
        <v>0</v>
      </c>
      <c r="AK172">
        <v>4</v>
      </c>
      <c r="AL172" t="s">
        <v>2873</v>
      </c>
      <c r="AM172" t="s">
        <v>2874</v>
      </c>
      <c r="AN172" t="s">
        <v>2875</v>
      </c>
      <c r="AO172" t="s">
        <v>2876</v>
      </c>
      <c r="AP172" t="s">
        <v>2877</v>
      </c>
      <c r="AQ172" t="s">
        <v>74</v>
      </c>
      <c r="AR172" t="s">
        <v>2878</v>
      </c>
      <c r="AS172" t="s">
        <v>2879</v>
      </c>
      <c r="AT172" t="s">
        <v>74</v>
      </c>
      <c r="AU172">
        <v>2007</v>
      </c>
      <c r="AV172" t="s">
        <v>74</v>
      </c>
      <c r="AW172">
        <v>3</v>
      </c>
      <c r="AX172" t="s">
        <v>74</v>
      </c>
      <c r="AY172" t="s">
        <v>74</v>
      </c>
      <c r="AZ172" t="s">
        <v>74</v>
      </c>
      <c r="BA172" t="s">
        <v>74</v>
      </c>
      <c r="BB172">
        <v>79</v>
      </c>
      <c r="BC172">
        <v>85</v>
      </c>
      <c r="BD172" t="s">
        <v>74</v>
      </c>
      <c r="BE172" t="s">
        <v>2880</v>
      </c>
      <c r="BF172" t="str">
        <f>HYPERLINK("http://dx.doi.org/10.1051/lhb:2007039","http://dx.doi.org/10.1051/lhb:2007039")</f>
        <v>http://dx.doi.org/10.1051/lhb:2007039</v>
      </c>
      <c r="BG172" t="s">
        <v>74</v>
      </c>
      <c r="BH172" t="s">
        <v>74</v>
      </c>
      <c r="BI172">
        <v>7</v>
      </c>
      <c r="BJ172" t="s">
        <v>2881</v>
      </c>
      <c r="BK172" t="s">
        <v>97</v>
      </c>
      <c r="BL172" t="s">
        <v>2881</v>
      </c>
      <c r="BM172" t="s">
        <v>2882</v>
      </c>
      <c r="BN172" t="s">
        <v>74</v>
      </c>
      <c r="BO172" t="s">
        <v>124</v>
      </c>
      <c r="BP172" t="s">
        <v>74</v>
      </c>
      <c r="BQ172" t="s">
        <v>74</v>
      </c>
      <c r="BR172" t="s">
        <v>100</v>
      </c>
      <c r="BS172" t="s">
        <v>2883</v>
      </c>
      <c r="BT172" t="str">
        <f>HYPERLINK("https%3A%2F%2Fwww.webofscience.com%2Fwos%2Fwoscc%2Ffull-record%2FWOS:000248862200016","View Full Record in Web of Science")</f>
        <v>View Full Record in Web of Science</v>
      </c>
    </row>
    <row r="173" spans="1:72" x14ac:dyDescent="0.15">
      <c r="A173" t="s">
        <v>213</v>
      </c>
      <c r="B173" t="s">
        <v>2884</v>
      </c>
      <c r="C173" t="s">
        <v>74</v>
      </c>
      <c r="D173" t="s">
        <v>2885</v>
      </c>
      <c r="E173" t="s">
        <v>74</v>
      </c>
      <c r="F173" t="s">
        <v>2886</v>
      </c>
      <c r="G173" t="s">
        <v>74</v>
      </c>
      <c r="H173" t="s">
        <v>74</v>
      </c>
      <c r="I173" t="s">
        <v>2887</v>
      </c>
      <c r="J173" t="s">
        <v>2888</v>
      </c>
      <c r="K173" t="s">
        <v>74</v>
      </c>
      <c r="L173" t="s">
        <v>74</v>
      </c>
      <c r="M173" t="s">
        <v>78</v>
      </c>
      <c r="N173" t="s">
        <v>219</v>
      </c>
      <c r="O173" t="s">
        <v>74</v>
      </c>
      <c r="P173" t="s">
        <v>74</v>
      </c>
      <c r="Q173" t="s">
        <v>74</v>
      </c>
      <c r="R173" t="s">
        <v>74</v>
      </c>
      <c r="S173" t="s">
        <v>74</v>
      </c>
      <c r="T173" t="s">
        <v>74</v>
      </c>
      <c r="U173" t="s">
        <v>2889</v>
      </c>
      <c r="V173" t="s">
        <v>74</v>
      </c>
      <c r="W173" t="s">
        <v>2890</v>
      </c>
      <c r="X173" t="s">
        <v>2891</v>
      </c>
      <c r="Y173" t="s">
        <v>2892</v>
      </c>
      <c r="Z173" t="s">
        <v>74</v>
      </c>
      <c r="AA173" t="s">
        <v>2893</v>
      </c>
      <c r="AB173" t="s">
        <v>74</v>
      </c>
      <c r="AC173" t="s">
        <v>74</v>
      </c>
      <c r="AD173" t="s">
        <v>74</v>
      </c>
      <c r="AE173" t="s">
        <v>74</v>
      </c>
      <c r="AF173" t="s">
        <v>74</v>
      </c>
      <c r="AG173">
        <v>93</v>
      </c>
      <c r="AH173">
        <v>9</v>
      </c>
      <c r="AI173">
        <v>9</v>
      </c>
      <c r="AJ173">
        <v>0</v>
      </c>
      <c r="AK173">
        <v>6</v>
      </c>
      <c r="AL173" t="s">
        <v>221</v>
      </c>
      <c r="AM173" t="s">
        <v>222</v>
      </c>
      <c r="AN173" t="s">
        <v>223</v>
      </c>
      <c r="AO173" t="s">
        <v>74</v>
      </c>
      <c r="AP173" t="s">
        <v>74</v>
      </c>
      <c r="AQ173" t="s">
        <v>2894</v>
      </c>
      <c r="AR173" t="s">
        <v>74</v>
      </c>
      <c r="AS173" t="s">
        <v>74</v>
      </c>
      <c r="AT173" t="s">
        <v>74</v>
      </c>
      <c r="AU173">
        <v>2007</v>
      </c>
      <c r="AV173" t="s">
        <v>74</v>
      </c>
      <c r="AW173" t="s">
        <v>74</v>
      </c>
      <c r="AX173" t="s">
        <v>74</v>
      </c>
      <c r="AY173" t="s">
        <v>74</v>
      </c>
      <c r="AZ173" t="s">
        <v>74</v>
      </c>
      <c r="BA173" t="s">
        <v>74</v>
      </c>
      <c r="BB173">
        <v>343</v>
      </c>
      <c r="BC173">
        <v>354</v>
      </c>
      <c r="BD173" t="s">
        <v>74</v>
      </c>
      <c r="BE173" t="s">
        <v>2895</v>
      </c>
      <c r="BF173" t="str">
        <f>HYPERLINK("http://dx.doi.org/10.1017/CBO9780511619472.033","http://dx.doi.org/10.1017/CBO9780511619472.033")</f>
        <v>http://dx.doi.org/10.1017/CBO9780511619472.033</v>
      </c>
      <c r="BG173" t="s">
        <v>2896</v>
      </c>
      <c r="BH173" t="s">
        <v>74</v>
      </c>
      <c r="BI173">
        <v>12</v>
      </c>
      <c r="BJ173" t="s">
        <v>359</v>
      </c>
      <c r="BK173" t="s">
        <v>238</v>
      </c>
      <c r="BL173" t="s">
        <v>360</v>
      </c>
      <c r="BM173" t="s">
        <v>2897</v>
      </c>
      <c r="BN173" t="s">
        <v>74</v>
      </c>
      <c r="BO173" t="s">
        <v>74</v>
      </c>
      <c r="BP173" t="s">
        <v>74</v>
      </c>
      <c r="BQ173" t="s">
        <v>74</v>
      </c>
      <c r="BR173" t="s">
        <v>100</v>
      </c>
      <c r="BS173" t="s">
        <v>2898</v>
      </c>
      <c r="BT173" t="str">
        <f>HYPERLINK("https%3A%2F%2Fwww.webofscience.com%2Fwos%2Fwoscc%2Ffull-record%2FWOS:000296905500033","View Full Record in Web of Science")</f>
        <v>View Full Record in Web of Science</v>
      </c>
    </row>
    <row r="174" spans="1:72" x14ac:dyDescent="0.15">
      <c r="A174" t="s">
        <v>72</v>
      </c>
      <c r="B174" t="s">
        <v>2899</v>
      </c>
      <c r="C174" t="s">
        <v>74</v>
      </c>
      <c r="D174" t="s">
        <v>74</v>
      </c>
      <c r="E174" t="s">
        <v>74</v>
      </c>
      <c r="F174" t="s">
        <v>2900</v>
      </c>
      <c r="G174" t="s">
        <v>74</v>
      </c>
      <c r="H174" t="s">
        <v>74</v>
      </c>
      <c r="I174" t="s">
        <v>2901</v>
      </c>
      <c r="J174" t="s">
        <v>2902</v>
      </c>
      <c r="K174" t="s">
        <v>74</v>
      </c>
      <c r="L174" t="s">
        <v>74</v>
      </c>
      <c r="M174" t="s">
        <v>78</v>
      </c>
      <c r="N174" t="s">
        <v>79</v>
      </c>
      <c r="O174" t="s">
        <v>74</v>
      </c>
      <c r="P174" t="s">
        <v>74</v>
      </c>
      <c r="Q174" t="s">
        <v>74</v>
      </c>
      <c r="R174" t="s">
        <v>74</v>
      </c>
      <c r="S174" t="s">
        <v>74</v>
      </c>
      <c r="T174" t="s">
        <v>74</v>
      </c>
      <c r="U174" t="s">
        <v>2903</v>
      </c>
      <c r="V174" t="s">
        <v>2904</v>
      </c>
      <c r="W174" t="s">
        <v>2905</v>
      </c>
      <c r="X174" t="s">
        <v>2906</v>
      </c>
      <c r="Y174" t="s">
        <v>2907</v>
      </c>
      <c r="Z174" t="s">
        <v>2908</v>
      </c>
      <c r="AA174" t="s">
        <v>2909</v>
      </c>
      <c r="AB174" t="s">
        <v>2910</v>
      </c>
      <c r="AC174" t="s">
        <v>74</v>
      </c>
      <c r="AD174" t="s">
        <v>74</v>
      </c>
      <c r="AE174" t="s">
        <v>74</v>
      </c>
      <c r="AF174" t="s">
        <v>74</v>
      </c>
      <c r="AG174">
        <v>64</v>
      </c>
      <c r="AH174">
        <v>4</v>
      </c>
      <c r="AI174">
        <v>4</v>
      </c>
      <c r="AJ174">
        <v>0</v>
      </c>
      <c r="AK174">
        <v>4</v>
      </c>
      <c r="AL174" t="s">
        <v>351</v>
      </c>
      <c r="AM174" t="s">
        <v>352</v>
      </c>
      <c r="AN174" t="s">
        <v>353</v>
      </c>
      <c r="AO174" t="s">
        <v>2911</v>
      </c>
      <c r="AP174" t="s">
        <v>2912</v>
      </c>
      <c r="AQ174" t="s">
        <v>74</v>
      </c>
      <c r="AR174" t="s">
        <v>2913</v>
      </c>
      <c r="AS174" t="s">
        <v>2914</v>
      </c>
      <c r="AT174" t="s">
        <v>74</v>
      </c>
      <c r="AU174">
        <v>2007</v>
      </c>
      <c r="AV174">
        <v>11</v>
      </c>
      <c r="AW174">
        <v>6</v>
      </c>
      <c r="AX174" t="s">
        <v>74</v>
      </c>
      <c r="AY174" t="s">
        <v>74</v>
      </c>
      <c r="AZ174" t="s">
        <v>74</v>
      </c>
      <c r="BA174" t="s">
        <v>74</v>
      </c>
      <c r="BB174">
        <v>1831</v>
      </c>
      <c r="BC174">
        <v>1841</v>
      </c>
      <c r="BD174" t="s">
        <v>74</v>
      </c>
      <c r="BE174" t="s">
        <v>2915</v>
      </c>
      <c r="BF174" t="str">
        <f>HYPERLINK("http://dx.doi.org/10.5194/hess-11-1831-2007","http://dx.doi.org/10.5194/hess-11-1831-2007")</f>
        <v>http://dx.doi.org/10.5194/hess-11-1831-2007</v>
      </c>
      <c r="BG174" t="s">
        <v>74</v>
      </c>
      <c r="BH174" t="s">
        <v>74</v>
      </c>
      <c r="BI174">
        <v>11</v>
      </c>
      <c r="BJ174" t="s">
        <v>2916</v>
      </c>
      <c r="BK174" t="s">
        <v>97</v>
      </c>
      <c r="BL174" t="s">
        <v>2917</v>
      </c>
      <c r="BM174" t="s">
        <v>2918</v>
      </c>
      <c r="BN174" t="s">
        <v>74</v>
      </c>
      <c r="BO174" t="s">
        <v>337</v>
      </c>
      <c r="BP174" t="s">
        <v>74</v>
      </c>
      <c r="BQ174" t="s">
        <v>74</v>
      </c>
      <c r="BR174" t="s">
        <v>100</v>
      </c>
      <c r="BS174" t="s">
        <v>2919</v>
      </c>
      <c r="BT174" t="str">
        <f>HYPERLINK("https%3A%2F%2Fwww.webofscience.com%2Fwos%2Fwoscc%2Ffull-record%2FWOS:000251998500011","View Full Record in Web of Science")</f>
        <v>View Full Record in Web of Science</v>
      </c>
    </row>
    <row r="175" spans="1:72" x14ac:dyDescent="0.15">
      <c r="A175" t="s">
        <v>888</v>
      </c>
      <c r="B175" t="s">
        <v>2920</v>
      </c>
      <c r="C175" t="s">
        <v>74</v>
      </c>
      <c r="D175" t="s">
        <v>2921</v>
      </c>
      <c r="E175" t="s">
        <v>74</v>
      </c>
      <c r="F175" t="s">
        <v>2922</v>
      </c>
      <c r="G175" t="s">
        <v>74</v>
      </c>
      <c r="H175" t="s">
        <v>74</v>
      </c>
      <c r="I175" t="s">
        <v>2923</v>
      </c>
      <c r="J175" t="s">
        <v>2924</v>
      </c>
      <c r="K175" t="s">
        <v>2925</v>
      </c>
      <c r="L175" t="s">
        <v>74</v>
      </c>
      <c r="M175" t="s">
        <v>78</v>
      </c>
      <c r="N175" t="s">
        <v>176</v>
      </c>
      <c r="O175" t="s">
        <v>2926</v>
      </c>
      <c r="P175" t="s">
        <v>2927</v>
      </c>
      <c r="Q175" t="s">
        <v>2928</v>
      </c>
      <c r="R175" t="s">
        <v>74</v>
      </c>
      <c r="S175" t="s">
        <v>74</v>
      </c>
      <c r="T175" t="s">
        <v>2929</v>
      </c>
      <c r="U175" t="s">
        <v>2930</v>
      </c>
      <c r="V175" t="s">
        <v>2931</v>
      </c>
      <c r="W175" t="s">
        <v>2932</v>
      </c>
      <c r="X175" t="s">
        <v>2933</v>
      </c>
      <c r="Y175" t="s">
        <v>2934</v>
      </c>
      <c r="Z175" t="s">
        <v>2935</v>
      </c>
      <c r="AA175" t="s">
        <v>2936</v>
      </c>
      <c r="AB175" t="s">
        <v>2937</v>
      </c>
      <c r="AC175" t="s">
        <v>74</v>
      </c>
      <c r="AD175" t="s">
        <v>74</v>
      </c>
      <c r="AE175" t="s">
        <v>74</v>
      </c>
      <c r="AF175" t="s">
        <v>74</v>
      </c>
      <c r="AG175">
        <v>65</v>
      </c>
      <c r="AH175">
        <v>16</v>
      </c>
      <c r="AI175">
        <v>18</v>
      </c>
      <c r="AJ175">
        <v>1</v>
      </c>
      <c r="AK175">
        <v>20</v>
      </c>
      <c r="AL175" t="s">
        <v>2037</v>
      </c>
      <c r="AM175" t="s">
        <v>2038</v>
      </c>
      <c r="AN175" t="s">
        <v>2039</v>
      </c>
      <c r="AO175" t="s">
        <v>2938</v>
      </c>
      <c r="AP175" t="s">
        <v>2939</v>
      </c>
      <c r="AQ175" t="s">
        <v>2940</v>
      </c>
      <c r="AR175" t="s">
        <v>2941</v>
      </c>
      <c r="AS175" t="s">
        <v>2942</v>
      </c>
      <c r="AT175" t="s">
        <v>74</v>
      </c>
      <c r="AU175">
        <v>2007</v>
      </c>
      <c r="AV175">
        <v>618</v>
      </c>
      <c r="AW175" t="s">
        <v>74</v>
      </c>
      <c r="AX175" t="s">
        <v>74</v>
      </c>
      <c r="AY175" t="s">
        <v>74</v>
      </c>
      <c r="AZ175" t="s">
        <v>74</v>
      </c>
      <c r="BA175" t="s">
        <v>74</v>
      </c>
      <c r="BB175">
        <v>255</v>
      </c>
      <c r="BC175">
        <v>276</v>
      </c>
      <c r="BD175" t="s">
        <v>74</v>
      </c>
      <c r="BE175" t="s">
        <v>74</v>
      </c>
      <c r="BF175" t="s">
        <v>74</v>
      </c>
      <c r="BG175" t="s">
        <v>74</v>
      </c>
      <c r="BH175" t="s">
        <v>74</v>
      </c>
      <c r="BI175">
        <v>22</v>
      </c>
      <c r="BJ175" t="s">
        <v>2943</v>
      </c>
      <c r="BK175" t="s">
        <v>1847</v>
      </c>
      <c r="BL175" t="s">
        <v>2944</v>
      </c>
      <c r="BM175" t="s">
        <v>2945</v>
      </c>
      <c r="BN175">
        <v>18269203</v>
      </c>
      <c r="BO175" t="s">
        <v>74</v>
      </c>
      <c r="BP175" t="s">
        <v>74</v>
      </c>
      <c r="BQ175" t="s">
        <v>74</v>
      </c>
      <c r="BR175" t="s">
        <v>100</v>
      </c>
      <c r="BS175" t="s">
        <v>2946</v>
      </c>
      <c r="BT175" t="str">
        <f>HYPERLINK("https%3A%2F%2Fwww.webofscience.com%2Fwos%2Fwoscc%2Ffull-record%2FWOS:000252483900020","View Full Record in Web of Science")</f>
        <v>View Full Record in Web of Science</v>
      </c>
    </row>
    <row r="176" spans="1:72" x14ac:dyDescent="0.15">
      <c r="A176" t="s">
        <v>72</v>
      </c>
      <c r="B176" t="s">
        <v>2947</v>
      </c>
      <c r="C176" t="s">
        <v>74</v>
      </c>
      <c r="D176" t="s">
        <v>74</v>
      </c>
      <c r="E176" t="s">
        <v>74</v>
      </c>
      <c r="F176" t="s">
        <v>2948</v>
      </c>
      <c r="G176" t="s">
        <v>74</v>
      </c>
      <c r="H176" t="s">
        <v>74</v>
      </c>
      <c r="I176" t="s">
        <v>2949</v>
      </c>
      <c r="J176" t="s">
        <v>2950</v>
      </c>
      <c r="K176" t="s">
        <v>74</v>
      </c>
      <c r="L176" t="s">
        <v>74</v>
      </c>
      <c r="M176" t="s">
        <v>78</v>
      </c>
      <c r="N176" t="s">
        <v>79</v>
      </c>
      <c r="O176" t="s">
        <v>74</v>
      </c>
      <c r="P176" t="s">
        <v>74</v>
      </c>
      <c r="Q176" t="s">
        <v>74</v>
      </c>
      <c r="R176" t="s">
        <v>74</v>
      </c>
      <c r="S176" t="s">
        <v>74</v>
      </c>
      <c r="T176" t="s">
        <v>74</v>
      </c>
      <c r="U176" t="s">
        <v>2951</v>
      </c>
      <c r="V176" t="s">
        <v>2952</v>
      </c>
      <c r="W176" t="s">
        <v>2953</v>
      </c>
      <c r="X176" t="s">
        <v>2954</v>
      </c>
      <c r="Y176" t="s">
        <v>2955</v>
      </c>
      <c r="Z176" t="s">
        <v>2956</v>
      </c>
      <c r="AA176" t="s">
        <v>74</v>
      </c>
      <c r="AB176" t="s">
        <v>2957</v>
      </c>
      <c r="AC176" t="s">
        <v>74</v>
      </c>
      <c r="AD176" t="s">
        <v>74</v>
      </c>
      <c r="AE176" t="s">
        <v>74</v>
      </c>
      <c r="AF176" t="s">
        <v>74</v>
      </c>
      <c r="AG176">
        <v>32</v>
      </c>
      <c r="AH176">
        <v>25</v>
      </c>
      <c r="AI176">
        <v>27</v>
      </c>
      <c r="AJ176">
        <v>1</v>
      </c>
      <c r="AK176">
        <v>7</v>
      </c>
      <c r="AL176" t="s">
        <v>159</v>
      </c>
      <c r="AM176" t="s">
        <v>160</v>
      </c>
      <c r="AN176" t="s">
        <v>161</v>
      </c>
      <c r="AO176" t="s">
        <v>2958</v>
      </c>
      <c r="AP176" t="s">
        <v>2959</v>
      </c>
      <c r="AQ176" t="s">
        <v>74</v>
      </c>
      <c r="AR176" t="s">
        <v>2950</v>
      </c>
      <c r="AS176" t="s">
        <v>2960</v>
      </c>
      <c r="AT176" t="s">
        <v>661</v>
      </c>
      <c r="AU176">
        <v>2007</v>
      </c>
      <c r="AV176">
        <v>149</v>
      </c>
      <c r="AW176">
        <v>1</v>
      </c>
      <c r="AX176" t="s">
        <v>74</v>
      </c>
      <c r="AY176" t="s">
        <v>74</v>
      </c>
      <c r="AZ176" t="s">
        <v>74</v>
      </c>
      <c r="BA176" t="s">
        <v>74</v>
      </c>
      <c r="BB176">
        <v>45</v>
      </c>
      <c r="BC176">
        <v>52</v>
      </c>
      <c r="BD176" t="s">
        <v>74</v>
      </c>
      <c r="BE176" t="s">
        <v>74</v>
      </c>
      <c r="BF176" t="s">
        <v>74</v>
      </c>
      <c r="BG176" t="s">
        <v>74</v>
      </c>
      <c r="BH176" t="s">
        <v>74</v>
      </c>
      <c r="BI176">
        <v>8</v>
      </c>
      <c r="BJ176" t="s">
        <v>2264</v>
      </c>
      <c r="BK176" t="s">
        <v>97</v>
      </c>
      <c r="BL176" t="s">
        <v>596</v>
      </c>
      <c r="BM176" t="s">
        <v>2961</v>
      </c>
      <c r="BN176" t="s">
        <v>74</v>
      </c>
      <c r="BO176" t="s">
        <v>74</v>
      </c>
      <c r="BP176" t="s">
        <v>74</v>
      </c>
      <c r="BQ176" t="s">
        <v>74</v>
      </c>
      <c r="BR176" t="s">
        <v>100</v>
      </c>
      <c r="BS176" t="s">
        <v>2962</v>
      </c>
      <c r="BT176" t="str">
        <f>HYPERLINK("https%3A%2F%2Fwww.webofscience.com%2Fwos%2Fwoscc%2Ffull-record%2FWOS:000243474600006","View Full Record in Web of Science")</f>
        <v>View Full Record in Web of Science</v>
      </c>
    </row>
    <row r="177" spans="1:72" x14ac:dyDescent="0.15">
      <c r="A177" t="s">
        <v>72</v>
      </c>
      <c r="B177" t="s">
        <v>2963</v>
      </c>
      <c r="C177" t="s">
        <v>74</v>
      </c>
      <c r="D177" t="s">
        <v>74</v>
      </c>
      <c r="E177" t="s">
        <v>74</v>
      </c>
      <c r="F177" t="s">
        <v>2964</v>
      </c>
      <c r="G177" t="s">
        <v>74</v>
      </c>
      <c r="H177" t="s">
        <v>74</v>
      </c>
      <c r="I177" t="s">
        <v>2965</v>
      </c>
      <c r="J177" t="s">
        <v>2966</v>
      </c>
      <c r="K177" t="s">
        <v>74</v>
      </c>
      <c r="L177" t="s">
        <v>74</v>
      </c>
      <c r="M177" t="s">
        <v>78</v>
      </c>
      <c r="N177" t="s">
        <v>79</v>
      </c>
      <c r="O177" t="s">
        <v>74</v>
      </c>
      <c r="P177" t="s">
        <v>74</v>
      </c>
      <c r="Q177" t="s">
        <v>74</v>
      </c>
      <c r="R177" t="s">
        <v>74</v>
      </c>
      <c r="S177" t="s">
        <v>74</v>
      </c>
      <c r="T177" t="s">
        <v>2967</v>
      </c>
      <c r="U177" t="s">
        <v>2968</v>
      </c>
      <c r="V177" t="s">
        <v>2969</v>
      </c>
      <c r="W177" t="s">
        <v>2970</v>
      </c>
      <c r="X177" t="s">
        <v>2971</v>
      </c>
      <c r="Y177" t="s">
        <v>2972</v>
      </c>
      <c r="Z177" t="s">
        <v>2973</v>
      </c>
      <c r="AA177" t="s">
        <v>74</v>
      </c>
      <c r="AB177" t="s">
        <v>74</v>
      </c>
      <c r="AC177" t="s">
        <v>74</v>
      </c>
      <c r="AD177" t="s">
        <v>74</v>
      </c>
      <c r="AE177" t="s">
        <v>74</v>
      </c>
      <c r="AF177" t="s">
        <v>74</v>
      </c>
      <c r="AG177">
        <v>16</v>
      </c>
      <c r="AH177">
        <v>11</v>
      </c>
      <c r="AI177">
        <v>11</v>
      </c>
      <c r="AJ177">
        <v>1</v>
      </c>
      <c r="AK177">
        <v>3</v>
      </c>
      <c r="AL177" t="s">
        <v>2467</v>
      </c>
      <c r="AM177" t="s">
        <v>818</v>
      </c>
      <c r="AN177" t="s">
        <v>2468</v>
      </c>
      <c r="AO177" t="s">
        <v>2974</v>
      </c>
      <c r="AP177" t="s">
        <v>74</v>
      </c>
      <c r="AQ177" t="s">
        <v>74</v>
      </c>
      <c r="AR177" t="s">
        <v>2975</v>
      </c>
      <c r="AS177" t="s">
        <v>2976</v>
      </c>
      <c r="AT177" t="s">
        <v>661</v>
      </c>
      <c r="AU177">
        <v>2007</v>
      </c>
      <c r="AV177">
        <v>64</v>
      </c>
      <c r="AW177">
        <v>1</v>
      </c>
      <c r="AX177" t="s">
        <v>74</v>
      </c>
      <c r="AY177" t="s">
        <v>74</v>
      </c>
      <c r="AZ177" t="s">
        <v>74</v>
      </c>
      <c r="BA177" t="s">
        <v>74</v>
      </c>
      <c r="BB177">
        <v>39</v>
      </c>
      <c r="BC177">
        <v>48</v>
      </c>
      <c r="BD177" t="s">
        <v>74</v>
      </c>
      <c r="BE177" t="s">
        <v>2977</v>
      </c>
      <c r="BF177" t="str">
        <f>HYPERLINK("http://dx.doi.org/10.1093/icesjms/fsl010","http://dx.doi.org/10.1093/icesjms/fsl010")</f>
        <v>http://dx.doi.org/10.1093/icesjms/fsl010</v>
      </c>
      <c r="BG177" t="s">
        <v>74</v>
      </c>
      <c r="BH177" t="s">
        <v>74</v>
      </c>
      <c r="BI177">
        <v>10</v>
      </c>
      <c r="BJ177" t="s">
        <v>2978</v>
      </c>
      <c r="BK177" t="s">
        <v>97</v>
      </c>
      <c r="BL177" t="s">
        <v>2978</v>
      </c>
      <c r="BM177" t="s">
        <v>2979</v>
      </c>
      <c r="BN177" t="s">
        <v>74</v>
      </c>
      <c r="BO177" t="s">
        <v>124</v>
      </c>
      <c r="BP177" t="s">
        <v>74</v>
      </c>
      <c r="BQ177" t="s">
        <v>74</v>
      </c>
      <c r="BR177" t="s">
        <v>100</v>
      </c>
      <c r="BS177" t="s">
        <v>2980</v>
      </c>
      <c r="BT177" t="str">
        <f>HYPERLINK("https%3A%2F%2Fwww.webofscience.com%2Fwos%2Fwoscc%2Ffull-record%2FWOS:000246865300005","View Full Record in Web of Science")</f>
        <v>View Full Record in Web of Science</v>
      </c>
    </row>
    <row r="178" spans="1:72" x14ac:dyDescent="0.15">
      <c r="A178" t="s">
        <v>241</v>
      </c>
      <c r="B178" t="s">
        <v>2981</v>
      </c>
      <c r="C178" t="s">
        <v>74</v>
      </c>
      <c r="D178" t="s">
        <v>2982</v>
      </c>
      <c r="E178" t="s">
        <v>74</v>
      </c>
      <c r="F178" t="s">
        <v>2983</v>
      </c>
      <c r="G178" t="s">
        <v>74</v>
      </c>
      <c r="H178" t="s">
        <v>74</v>
      </c>
      <c r="I178" t="s">
        <v>2984</v>
      </c>
      <c r="J178" t="s">
        <v>2985</v>
      </c>
      <c r="K178" t="s">
        <v>74</v>
      </c>
      <c r="L178" t="s">
        <v>74</v>
      </c>
      <c r="M178" t="s">
        <v>78</v>
      </c>
      <c r="N178" t="s">
        <v>248</v>
      </c>
      <c r="O178" t="s">
        <v>2986</v>
      </c>
      <c r="P178" t="s">
        <v>2987</v>
      </c>
      <c r="Q178" t="s">
        <v>2988</v>
      </c>
      <c r="R178" t="s">
        <v>74</v>
      </c>
      <c r="S178" t="s">
        <v>74</v>
      </c>
      <c r="T178" t="s">
        <v>2989</v>
      </c>
      <c r="U178" t="s">
        <v>74</v>
      </c>
      <c r="V178" t="s">
        <v>2990</v>
      </c>
      <c r="W178" t="s">
        <v>2991</v>
      </c>
      <c r="X178" t="s">
        <v>2992</v>
      </c>
      <c r="Y178" t="s">
        <v>2993</v>
      </c>
      <c r="Z178" t="s">
        <v>2994</v>
      </c>
      <c r="AA178" t="s">
        <v>74</v>
      </c>
      <c r="AB178" t="s">
        <v>74</v>
      </c>
      <c r="AC178" t="s">
        <v>2995</v>
      </c>
      <c r="AD178" t="s">
        <v>2996</v>
      </c>
      <c r="AE178" t="s">
        <v>2997</v>
      </c>
      <c r="AF178" t="s">
        <v>74</v>
      </c>
      <c r="AG178">
        <v>8</v>
      </c>
      <c r="AH178">
        <v>1</v>
      </c>
      <c r="AI178">
        <v>1</v>
      </c>
      <c r="AJ178">
        <v>0</v>
      </c>
      <c r="AK178">
        <v>0</v>
      </c>
      <c r="AL178" t="s">
        <v>2998</v>
      </c>
      <c r="AM178" t="s">
        <v>678</v>
      </c>
      <c r="AN178" t="s">
        <v>2999</v>
      </c>
      <c r="AO178" t="s">
        <v>74</v>
      </c>
      <c r="AP178" t="s">
        <v>74</v>
      </c>
      <c r="AQ178" t="s">
        <v>3000</v>
      </c>
      <c r="AR178" t="s">
        <v>74</v>
      </c>
      <c r="AS178" t="s">
        <v>74</v>
      </c>
      <c r="AT178" t="s">
        <v>74</v>
      </c>
      <c r="AU178">
        <v>2007</v>
      </c>
      <c r="AV178" t="s">
        <v>74</v>
      </c>
      <c r="AW178" t="s">
        <v>74</v>
      </c>
      <c r="AX178" t="s">
        <v>74</v>
      </c>
      <c r="AY178" t="s">
        <v>74</v>
      </c>
      <c r="AZ178" t="s">
        <v>74</v>
      </c>
      <c r="BA178" t="s">
        <v>74</v>
      </c>
      <c r="BB178">
        <v>289</v>
      </c>
      <c r="BC178" t="s">
        <v>617</v>
      </c>
      <c r="BD178" t="s">
        <v>74</v>
      </c>
      <c r="BE178" t="s">
        <v>74</v>
      </c>
      <c r="BF178" t="s">
        <v>74</v>
      </c>
      <c r="BG178" t="s">
        <v>74</v>
      </c>
      <c r="BH178" t="s">
        <v>74</v>
      </c>
      <c r="BI178">
        <v>2</v>
      </c>
      <c r="BJ178" t="s">
        <v>3001</v>
      </c>
      <c r="BK178" t="s">
        <v>266</v>
      </c>
      <c r="BL178" t="s">
        <v>3002</v>
      </c>
      <c r="BM178" t="s">
        <v>3003</v>
      </c>
      <c r="BN178" t="s">
        <v>74</v>
      </c>
      <c r="BO178" t="s">
        <v>74</v>
      </c>
      <c r="BP178" t="s">
        <v>74</v>
      </c>
      <c r="BQ178" t="s">
        <v>74</v>
      </c>
      <c r="BR178" t="s">
        <v>100</v>
      </c>
      <c r="BS178" t="s">
        <v>3004</v>
      </c>
      <c r="BT178" t="str">
        <f>HYPERLINK("https%3A%2F%2Fwww.webofscience.com%2Fwos%2Fwoscc%2Ffull-record%2FWOS:000256016500054","View Full Record in Web of Science")</f>
        <v>View Full Record in Web of Science</v>
      </c>
    </row>
    <row r="179" spans="1:72" x14ac:dyDescent="0.15">
      <c r="A179" t="s">
        <v>72</v>
      </c>
      <c r="B179" t="s">
        <v>3005</v>
      </c>
      <c r="C179" t="s">
        <v>74</v>
      </c>
      <c r="D179" t="s">
        <v>74</v>
      </c>
      <c r="E179" t="s">
        <v>74</v>
      </c>
      <c r="F179" t="s">
        <v>3006</v>
      </c>
      <c r="G179" t="s">
        <v>74</v>
      </c>
      <c r="H179" t="s">
        <v>74</v>
      </c>
      <c r="I179" t="s">
        <v>3007</v>
      </c>
      <c r="J179" t="s">
        <v>3008</v>
      </c>
      <c r="K179" t="s">
        <v>74</v>
      </c>
      <c r="L179" t="s">
        <v>74</v>
      </c>
      <c r="M179" t="s">
        <v>78</v>
      </c>
      <c r="N179" t="s">
        <v>79</v>
      </c>
      <c r="O179" t="s">
        <v>74</v>
      </c>
      <c r="P179" t="s">
        <v>74</v>
      </c>
      <c r="Q179" t="s">
        <v>74</v>
      </c>
      <c r="R179" t="s">
        <v>74</v>
      </c>
      <c r="S179" t="s">
        <v>74</v>
      </c>
      <c r="T179" t="s">
        <v>3009</v>
      </c>
      <c r="U179" t="s">
        <v>3010</v>
      </c>
      <c r="V179" t="s">
        <v>3011</v>
      </c>
      <c r="W179" t="s">
        <v>3012</v>
      </c>
      <c r="X179" t="s">
        <v>3013</v>
      </c>
      <c r="Y179" t="s">
        <v>3014</v>
      </c>
      <c r="Z179" t="s">
        <v>3015</v>
      </c>
      <c r="AA179" t="s">
        <v>3016</v>
      </c>
      <c r="AB179" t="s">
        <v>3017</v>
      </c>
      <c r="AC179" t="s">
        <v>74</v>
      </c>
      <c r="AD179" t="s">
        <v>74</v>
      </c>
      <c r="AE179" t="s">
        <v>74</v>
      </c>
      <c r="AF179" t="s">
        <v>74</v>
      </c>
      <c r="AG179">
        <v>32</v>
      </c>
      <c r="AH179">
        <v>85</v>
      </c>
      <c r="AI179">
        <v>87</v>
      </c>
      <c r="AJ179">
        <v>1</v>
      </c>
      <c r="AK179">
        <v>22</v>
      </c>
      <c r="AL179" t="s">
        <v>3018</v>
      </c>
      <c r="AM179" t="s">
        <v>3019</v>
      </c>
      <c r="AN179" t="s">
        <v>3020</v>
      </c>
      <c r="AO179" t="s">
        <v>3021</v>
      </c>
      <c r="AP179" t="s">
        <v>74</v>
      </c>
      <c r="AQ179" t="s">
        <v>74</v>
      </c>
      <c r="AR179" t="s">
        <v>3022</v>
      </c>
      <c r="AS179" t="s">
        <v>3023</v>
      </c>
      <c r="AT179" t="s">
        <v>661</v>
      </c>
      <c r="AU179">
        <v>2007</v>
      </c>
      <c r="AV179">
        <v>45</v>
      </c>
      <c r="AW179">
        <v>1</v>
      </c>
      <c r="AX179" t="s">
        <v>74</v>
      </c>
      <c r="AY179" t="s">
        <v>74</v>
      </c>
      <c r="AZ179" t="s">
        <v>74</v>
      </c>
      <c r="BA179" t="s">
        <v>74</v>
      </c>
      <c r="BB179">
        <v>138</v>
      </c>
      <c r="BC179">
        <v>146</v>
      </c>
      <c r="BD179" t="s">
        <v>74</v>
      </c>
      <c r="BE179" t="s">
        <v>3024</v>
      </c>
      <c r="BF179" t="str">
        <f>HYPERLINK("http://dx.doi.org/10.1109/TGRS.2006.882264","http://dx.doi.org/10.1109/TGRS.2006.882264")</f>
        <v>http://dx.doi.org/10.1109/TGRS.2006.882264</v>
      </c>
      <c r="BG179" t="s">
        <v>74</v>
      </c>
      <c r="BH179" t="s">
        <v>74</v>
      </c>
      <c r="BI179">
        <v>9</v>
      </c>
      <c r="BJ179" t="s">
        <v>3025</v>
      </c>
      <c r="BK179" t="s">
        <v>97</v>
      </c>
      <c r="BL179" t="s">
        <v>3026</v>
      </c>
      <c r="BM179" t="s">
        <v>3027</v>
      </c>
      <c r="BN179" t="s">
        <v>74</v>
      </c>
      <c r="BO179" t="s">
        <v>74</v>
      </c>
      <c r="BP179" t="s">
        <v>74</v>
      </c>
      <c r="BQ179" t="s">
        <v>74</v>
      </c>
      <c r="BR179" t="s">
        <v>100</v>
      </c>
      <c r="BS179" t="s">
        <v>3028</v>
      </c>
      <c r="BT179" t="str">
        <f>HYPERLINK("https%3A%2F%2Fwww.webofscience.com%2Fwos%2Fwoscc%2Ffull-record%2FWOS:000243172900013","View Full Record in Web of Science")</f>
        <v>View Full Record in Web of Science</v>
      </c>
    </row>
    <row r="180" spans="1:72" x14ac:dyDescent="0.15">
      <c r="A180" t="s">
        <v>241</v>
      </c>
      <c r="B180" t="s">
        <v>3029</v>
      </c>
      <c r="C180" t="s">
        <v>74</v>
      </c>
      <c r="D180" t="s">
        <v>74</v>
      </c>
      <c r="E180" t="s">
        <v>2998</v>
      </c>
      <c r="F180" t="s">
        <v>3030</v>
      </c>
      <c r="G180" t="s">
        <v>74</v>
      </c>
      <c r="H180" t="s">
        <v>74</v>
      </c>
      <c r="I180" t="s">
        <v>3031</v>
      </c>
      <c r="J180" t="s">
        <v>3032</v>
      </c>
      <c r="K180" t="s">
        <v>3033</v>
      </c>
      <c r="L180" t="s">
        <v>74</v>
      </c>
      <c r="M180" t="s">
        <v>78</v>
      </c>
      <c r="N180" t="s">
        <v>248</v>
      </c>
      <c r="O180" t="s">
        <v>3034</v>
      </c>
      <c r="P180" t="s">
        <v>3035</v>
      </c>
      <c r="Q180" t="s">
        <v>3036</v>
      </c>
      <c r="R180" t="s">
        <v>74</v>
      </c>
      <c r="S180" t="s">
        <v>74</v>
      </c>
      <c r="T180" t="s">
        <v>3037</v>
      </c>
      <c r="U180" t="s">
        <v>3038</v>
      </c>
      <c r="V180" t="s">
        <v>3039</v>
      </c>
      <c r="W180" t="s">
        <v>3040</v>
      </c>
      <c r="X180" t="s">
        <v>3041</v>
      </c>
      <c r="Y180" t="s">
        <v>3042</v>
      </c>
      <c r="Z180" t="s">
        <v>3043</v>
      </c>
      <c r="AA180" t="s">
        <v>3044</v>
      </c>
      <c r="AB180" t="s">
        <v>3045</v>
      </c>
      <c r="AC180" t="s">
        <v>3046</v>
      </c>
      <c r="AD180" t="s">
        <v>3047</v>
      </c>
      <c r="AE180" t="s">
        <v>3048</v>
      </c>
      <c r="AF180" t="s">
        <v>74</v>
      </c>
      <c r="AG180">
        <v>10</v>
      </c>
      <c r="AH180">
        <v>13</v>
      </c>
      <c r="AI180">
        <v>14</v>
      </c>
      <c r="AJ180">
        <v>0</v>
      </c>
      <c r="AK180">
        <v>5</v>
      </c>
      <c r="AL180" t="s">
        <v>2998</v>
      </c>
      <c r="AM180" t="s">
        <v>678</v>
      </c>
      <c r="AN180" t="s">
        <v>2999</v>
      </c>
      <c r="AO180" t="s">
        <v>3049</v>
      </c>
      <c r="AP180" t="s">
        <v>74</v>
      </c>
      <c r="AQ180" t="s">
        <v>3050</v>
      </c>
      <c r="AR180" t="s">
        <v>3051</v>
      </c>
      <c r="AS180" t="s">
        <v>74</v>
      </c>
      <c r="AT180" t="s">
        <v>74</v>
      </c>
      <c r="AU180">
        <v>2007</v>
      </c>
      <c r="AV180" t="s">
        <v>74</v>
      </c>
      <c r="AW180" t="s">
        <v>74</v>
      </c>
      <c r="AX180" t="s">
        <v>74</v>
      </c>
      <c r="AY180" t="s">
        <v>74</v>
      </c>
      <c r="AZ180" t="s">
        <v>74</v>
      </c>
      <c r="BA180" t="s">
        <v>74</v>
      </c>
      <c r="BB180">
        <v>1174</v>
      </c>
      <c r="BC180">
        <v>1176</v>
      </c>
      <c r="BD180" t="s">
        <v>74</v>
      </c>
      <c r="BE180" t="s">
        <v>3052</v>
      </c>
      <c r="BF180" t="str">
        <f>HYPERLINK("http://dx.doi.org/10.1109/IGARSS.2007.4423013","http://dx.doi.org/10.1109/IGARSS.2007.4423013")</f>
        <v>http://dx.doi.org/10.1109/IGARSS.2007.4423013</v>
      </c>
      <c r="BG180" t="s">
        <v>74</v>
      </c>
      <c r="BH180" t="s">
        <v>74</v>
      </c>
      <c r="BI180">
        <v>3</v>
      </c>
      <c r="BJ180" t="s">
        <v>3053</v>
      </c>
      <c r="BK180" t="s">
        <v>266</v>
      </c>
      <c r="BL180" t="s">
        <v>3054</v>
      </c>
      <c r="BM180" t="s">
        <v>3055</v>
      </c>
      <c r="BN180" t="s">
        <v>74</v>
      </c>
      <c r="BO180" t="s">
        <v>74</v>
      </c>
      <c r="BP180" t="s">
        <v>74</v>
      </c>
      <c r="BQ180" t="s">
        <v>74</v>
      </c>
      <c r="BR180" t="s">
        <v>100</v>
      </c>
      <c r="BS180" t="s">
        <v>3056</v>
      </c>
      <c r="BT180" t="str">
        <f>HYPERLINK("https%3A%2F%2Fwww.webofscience.com%2Fwos%2Fwoscc%2Ffull-record%2FWOS:000256657301078","View Full Record in Web of Science")</f>
        <v>View Full Record in Web of Science</v>
      </c>
    </row>
    <row r="181" spans="1:72" x14ac:dyDescent="0.15">
      <c r="A181" t="s">
        <v>241</v>
      </c>
      <c r="B181" t="s">
        <v>3057</v>
      </c>
      <c r="C181" t="s">
        <v>74</v>
      </c>
      <c r="D181" t="s">
        <v>74</v>
      </c>
      <c r="E181" t="s">
        <v>2998</v>
      </c>
      <c r="F181" t="s">
        <v>3058</v>
      </c>
      <c r="G181" t="s">
        <v>74</v>
      </c>
      <c r="H181" t="s">
        <v>74</v>
      </c>
      <c r="I181" t="s">
        <v>3059</v>
      </c>
      <c r="J181" t="s">
        <v>3032</v>
      </c>
      <c r="K181" t="s">
        <v>3033</v>
      </c>
      <c r="L181" t="s">
        <v>74</v>
      </c>
      <c r="M181" t="s">
        <v>78</v>
      </c>
      <c r="N181" t="s">
        <v>248</v>
      </c>
      <c r="O181" t="s">
        <v>3034</v>
      </c>
      <c r="P181" t="s">
        <v>3035</v>
      </c>
      <c r="Q181" t="s">
        <v>3036</v>
      </c>
      <c r="R181" t="s">
        <v>74</v>
      </c>
      <c r="S181" t="s">
        <v>74</v>
      </c>
      <c r="T181" t="s">
        <v>3060</v>
      </c>
      <c r="U181" t="s">
        <v>74</v>
      </c>
      <c r="V181" t="s">
        <v>3061</v>
      </c>
      <c r="W181" t="s">
        <v>3062</v>
      </c>
      <c r="X181" t="s">
        <v>2164</v>
      </c>
      <c r="Y181" t="s">
        <v>3063</v>
      </c>
      <c r="Z181" t="s">
        <v>3064</v>
      </c>
      <c r="AA181" t="s">
        <v>74</v>
      </c>
      <c r="AB181" t="s">
        <v>74</v>
      </c>
      <c r="AC181" t="s">
        <v>74</v>
      </c>
      <c r="AD181" t="s">
        <v>74</v>
      </c>
      <c r="AE181" t="s">
        <v>74</v>
      </c>
      <c r="AF181" t="s">
        <v>74</v>
      </c>
      <c r="AG181">
        <v>6</v>
      </c>
      <c r="AH181">
        <v>6</v>
      </c>
      <c r="AI181">
        <v>7</v>
      </c>
      <c r="AJ181">
        <v>0</v>
      </c>
      <c r="AK181">
        <v>3</v>
      </c>
      <c r="AL181" t="s">
        <v>2998</v>
      </c>
      <c r="AM181" t="s">
        <v>678</v>
      </c>
      <c r="AN181" t="s">
        <v>2999</v>
      </c>
      <c r="AO181" t="s">
        <v>3049</v>
      </c>
      <c r="AP181" t="s">
        <v>74</v>
      </c>
      <c r="AQ181" t="s">
        <v>3050</v>
      </c>
      <c r="AR181" t="s">
        <v>3051</v>
      </c>
      <c r="AS181" t="s">
        <v>74</v>
      </c>
      <c r="AT181" t="s">
        <v>74</v>
      </c>
      <c r="AU181">
        <v>2007</v>
      </c>
      <c r="AV181" t="s">
        <v>74</v>
      </c>
      <c r="AW181" t="s">
        <v>74</v>
      </c>
      <c r="AX181" t="s">
        <v>74</v>
      </c>
      <c r="AY181" t="s">
        <v>74</v>
      </c>
      <c r="AZ181" t="s">
        <v>74</v>
      </c>
      <c r="BA181" t="s">
        <v>74</v>
      </c>
      <c r="BB181">
        <v>1229</v>
      </c>
      <c r="BC181">
        <v>1231</v>
      </c>
      <c r="BD181" t="s">
        <v>74</v>
      </c>
      <c r="BE181" t="s">
        <v>3065</v>
      </c>
      <c r="BF181" t="str">
        <f>HYPERLINK("http://dx.doi.org/10.1109/IGARSS.2007.4423028","http://dx.doi.org/10.1109/IGARSS.2007.4423028")</f>
        <v>http://dx.doi.org/10.1109/IGARSS.2007.4423028</v>
      </c>
      <c r="BG181" t="s">
        <v>74</v>
      </c>
      <c r="BH181" t="s">
        <v>74</v>
      </c>
      <c r="BI181">
        <v>3</v>
      </c>
      <c r="BJ181" t="s">
        <v>3053</v>
      </c>
      <c r="BK181" t="s">
        <v>266</v>
      </c>
      <c r="BL181" t="s">
        <v>3054</v>
      </c>
      <c r="BM181" t="s">
        <v>3055</v>
      </c>
      <c r="BN181" t="s">
        <v>74</v>
      </c>
      <c r="BO181" t="s">
        <v>74</v>
      </c>
      <c r="BP181" t="s">
        <v>74</v>
      </c>
      <c r="BQ181" t="s">
        <v>74</v>
      </c>
      <c r="BR181" t="s">
        <v>100</v>
      </c>
      <c r="BS181" t="s">
        <v>3066</v>
      </c>
      <c r="BT181" t="str">
        <f>HYPERLINK("https%3A%2F%2Fwww.webofscience.com%2Fwos%2Fwoscc%2Ffull-record%2FWOS:000256657301093","View Full Record in Web of Science")</f>
        <v>View Full Record in Web of Science</v>
      </c>
    </row>
    <row r="182" spans="1:72" x14ac:dyDescent="0.15">
      <c r="A182" t="s">
        <v>241</v>
      </c>
      <c r="B182" t="s">
        <v>3067</v>
      </c>
      <c r="C182" t="s">
        <v>74</v>
      </c>
      <c r="D182" t="s">
        <v>74</v>
      </c>
      <c r="E182" t="s">
        <v>2998</v>
      </c>
      <c r="F182" t="s">
        <v>3068</v>
      </c>
      <c r="G182" t="s">
        <v>74</v>
      </c>
      <c r="H182" t="s">
        <v>74</v>
      </c>
      <c r="I182" t="s">
        <v>3069</v>
      </c>
      <c r="J182" t="s">
        <v>3032</v>
      </c>
      <c r="K182" t="s">
        <v>3033</v>
      </c>
      <c r="L182" t="s">
        <v>74</v>
      </c>
      <c r="M182" t="s">
        <v>78</v>
      </c>
      <c r="N182" t="s">
        <v>248</v>
      </c>
      <c r="O182" t="s">
        <v>3034</v>
      </c>
      <c r="P182" t="s">
        <v>3035</v>
      </c>
      <c r="Q182" t="s">
        <v>3036</v>
      </c>
      <c r="R182" t="s">
        <v>74</v>
      </c>
      <c r="S182" t="s">
        <v>74</v>
      </c>
      <c r="T182" t="s">
        <v>3070</v>
      </c>
      <c r="U182" t="s">
        <v>74</v>
      </c>
      <c r="V182" t="s">
        <v>3071</v>
      </c>
      <c r="W182" t="s">
        <v>3072</v>
      </c>
      <c r="X182" t="s">
        <v>3073</v>
      </c>
      <c r="Y182" t="s">
        <v>3074</v>
      </c>
      <c r="Z182" t="s">
        <v>74</v>
      </c>
      <c r="AA182" t="s">
        <v>74</v>
      </c>
      <c r="AB182" t="s">
        <v>3075</v>
      </c>
      <c r="AC182" t="s">
        <v>74</v>
      </c>
      <c r="AD182" t="s">
        <v>74</v>
      </c>
      <c r="AE182" t="s">
        <v>74</v>
      </c>
      <c r="AF182" t="s">
        <v>74</v>
      </c>
      <c r="AG182">
        <v>6</v>
      </c>
      <c r="AH182">
        <v>5</v>
      </c>
      <c r="AI182">
        <v>5</v>
      </c>
      <c r="AJ182">
        <v>0</v>
      </c>
      <c r="AK182">
        <v>0</v>
      </c>
      <c r="AL182" t="s">
        <v>2998</v>
      </c>
      <c r="AM182" t="s">
        <v>678</v>
      </c>
      <c r="AN182" t="s">
        <v>2999</v>
      </c>
      <c r="AO182" t="s">
        <v>3049</v>
      </c>
      <c r="AP182" t="s">
        <v>74</v>
      </c>
      <c r="AQ182" t="s">
        <v>3050</v>
      </c>
      <c r="AR182" t="s">
        <v>3051</v>
      </c>
      <c r="AS182" t="s">
        <v>74</v>
      </c>
      <c r="AT182" t="s">
        <v>74</v>
      </c>
      <c r="AU182">
        <v>2007</v>
      </c>
      <c r="AV182" t="s">
        <v>74</v>
      </c>
      <c r="AW182" t="s">
        <v>74</v>
      </c>
      <c r="AX182" t="s">
        <v>74</v>
      </c>
      <c r="AY182" t="s">
        <v>74</v>
      </c>
      <c r="AZ182" t="s">
        <v>74</v>
      </c>
      <c r="BA182" t="s">
        <v>74</v>
      </c>
      <c r="BB182">
        <v>1405</v>
      </c>
      <c r="BC182">
        <v>1408</v>
      </c>
      <c r="BD182" t="s">
        <v>74</v>
      </c>
      <c r="BE182" t="s">
        <v>3076</v>
      </c>
      <c r="BF182" t="str">
        <f>HYPERLINK("http://dx.doi.org/10.1109/IGARSS.2007.4423069","http://dx.doi.org/10.1109/IGARSS.2007.4423069")</f>
        <v>http://dx.doi.org/10.1109/IGARSS.2007.4423069</v>
      </c>
      <c r="BG182" t="s">
        <v>74</v>
      </c>
      <c r="BH182" t="s">
        <v>74</v>
      </c>
      <c r="BI182">
        <v>4</v>
      </c>
      <c r="BJ182" t="s">
        <v>3053</v>
      </c>
      <c r="BK182" t="s">
        <v>266</v>
      </c>
      <c r="BL182" t="s">
        <v>3054</v>
      </c>
      <c r="BM182" t="s">
        <v>3055</v>
      </c>
      <c r="BN182" t="s">
        <v>74</v>
      </c>
      <c r="BO182" t="s">
        <v>74</v>
      </c>
      <c r="BP182" t="s">
        <v>74</v>
      </c>
      <c r="BQ182" t="s">
        <v>74</v>
      </c>
      <c r="BR182" t="s">
        <v>100</v>
      </c>
      <c r="BS182" t="s">
        <v>3077</v>
      </c>
      <c r="BT182" t="str">
        <f>HYPERLINK("https%3A%2F%2Fwww.webofscience.com%2Fwos%2Fwoscc%2Ffull-record%2FWOS:000256657301134","View Full Record in Web of Science")</f>
        <v>View Full Record in Web of Science</v>
      </c>
    </row>
    <row r="183" spans="1:72" x14ac:dyDescent="0.15">
      <c r="A183" t="s">
        <v>241</v>
      </c>
      <c r="B183" t="s">
        <v>3078</v>
      </c>
      <c r="C183" t="s">
        <v>74</v>
      </c>
      <c r="D183" t="s">
        <v>74</v>
      </c>
      <c r="E183" t="s">
        <v>2998</v>
      </c>
      <c r="F183" t="s">
        <v>3079</v>
      </c>
      <c r="G183" t="s">
        <v>74</v>
      </c>
      <c r="H183" t="s">
        <v>74</v>
      </c>
      <c r="I183" t="s">
        <v>3080</v>
      </c>
      <c r="J183" t="s">
        <v>3032</v>
      </c>
      <c r="K183" t="s">
        <v>3033</v>
      </c>
      <c r="L183" t="s">
        <v>74</v>
      </c>
      <c r="M183" t="s">
        <v>78</v>
      </c>
      <c r="N183" t="s">
        <v>248</v>
      </c>
      <c r="O183" t="s">
        <v>3034</v>
      </c>
      <c r="P183" t="s">
        <v>3035</v>
      </c>
      <c r="Q183" t="s">
        <v>3036</v>
      </c>
      <c r="R183" t="s">
        <v>74</v>
      </c>
      <c r="S183" t="s">
        <v>74</v>
      </c>
      <c r="T183" t="s">
        <v>3081</v>
      </c>
      <c r="U183" t="s">
        <v>74</v>
      </c>
      <c r="V183" t="s">
        <v>3082</v>
      </c>
      <c r="W183" t="s">
        <v>3083</v>
      </c>
      <c r="X183" t="s">
        <v>3084</v>
      </c>
      <c r="Y183" t="s">
        <v>3085</v>
      </c>
      <c r="Z183" t="s">
        <v>3086</v>
      </c>
      <c r="AA183" t="s">
        <v>3087</v>
      </c>
      <c r="AB183" t="s">
        <v>3088</v>
      </c>
      <c r="AC183" t="s">
        <v>3089</v>
      </c>
      <c r="AD183" t="s">
        <v>3090</v>
      </c>
      <c r="AE183" t="s">
        <v>3091</v>
      </c>
      <c r="AF183" t="s">
        <v>74</v>
      </c>
      <c r="AG183">
        <v>7</v>
      </c>
      <c r="AH183">
        <v>2</v>
      </c>
      <c r="AI183">
        <v>2</v>
      </c>
      <c r="AJ183">
        <v>0</v>
      </c>
      <c r="AK183">
        <v>1</v>
      </c>
      <c r="AL183" t="s">
        <v>2998</v>
      </c>
      <c r="AM183" t="s">
        <v>678</v>
      </c>
      <c r="AN183" t="s">
        <v>2999</v>
      </c>
      <c r="AO183" t="s">
        <v>3049</v>
      </c>
      <c r="AP183" t="s">
        <v>74</v>
      </c>
      <c r="AQ183" t="s">
        <v>3050</v>
      </c>
      <c r="AR183" t="s">
        <v>3051</v>
      </c>
      <c r="AS183" t="s">
        <v>74</v>
      </c>
      <c r="AT183" t="s">
        <v>74</v>
      </c>
      <c r="AU183">
        <v>2007</v>
      </c>
      <c r="AV183" t="s">
        <v>74</v>
      </c>
      <c r="AW183" t="s">
        <v>74</v>
      </c>
      <c r="AX183" t="s">
        <v>74</v>
      </c>
      <c r="AY183" t="s">
        <v>74</v>
      </c>
      <c r="AZ183" t="s">
        <v>74</v>
      </c>
      <c r="BA183" t="s">
        <v>74</v>
      </c>
      <c r="BB183">
        <v>1565</v>
      </c>
      <c r="BC183">
        <v>1568</v>
      </c>
      <c r="BD183" t="s">
        <v>74</v>
      </c>
      <c r="BE183" t="s">
        <v>3092</v>
      </c>
      <c r="BF183" t="str">
        <f>HYPERLINK("http://dx.doi.org/10.1109/IGARSS.2007.4423109","http://dx.doi.org/10.1109/IGARSS.2007.4423109")</f>
        <v>http://dx.doi.org/10.1109/IGARSS.2007.4423109</v>
      </c>
      <c r="BG183" t="s">
        <v>74</v>
      </c>
      <c r="BH183" t="s">
        <v>74</v>
      </c>
      <c r="BI183">
        <v>4</v>
      </c>
      <c r="BJ183" t="s">
        <v>3053</v>
      </c>
      <c r="BK183" t="s">
        <v>266</v>
      </c>
      <c r="BL183" t="s">
        <v>3054</v>
      </c>
      <c r="BM183" t="s">
        <v>3055</v>
      </c>
      <c r="BN183" t="s">
        <v>74</v>
      </c>
      <c r="BO183" t="s">
        <v>74</v>
      </c>
      <c r="BP183" t="s">
        <v>74</v>
      </c>
      <c r="BQ183" t="s">
        <v>74</v>
      </c>
      <c r="BR183" t="s">
        <v>100</v>
      </c>
      <c r="BS183" t="s">
        <v>3093</v>
      </c>
      <c r="BT183" t="str">
        <f>HYPERLINK("https%3A%2F%2Fwww.webofscience.com%2Fwos%2Fwoscc%2Ffull-record%2FWOS:000256657301174","View Full Record in Web of Science")</f>
        <v>View Full Record in Web of Science</v>
      </c>
    </row>
    <row r="184" spans="1:72" x14ac:dyDescent="0.15">
      <c r="A184" t="s">
        <v>241</v>
      </c>
      <c r="B184" t="s">
        <v>3094</v>
      </c>
      <c r="C184" t="s">
        <v>74</v>
      </c>
      <c r="D184" t="s">
        <v>74</v>
      </c>
      <c r="E184" t="s">
        <v>2998</v>
      </c>
      <c r="F184" t="s">
        <v>3095</v>
      </c>
      <c r="G184" t="s">
        <v>74</v>
      </c>
      <c r="H184" t="s">
        <v>74</v>
      </c>
      <c r="I184" t="s">
        <v>3096</v>
      </c>
      <c r="J184" t="s">
        <v>3032</v>
      </c>
      <c r="K184" t="s">
        <v>3033</v>
      </c>
      <c r="L184" t="s">
        <v>74</v>
      </c>
      <c r="M184" t="s">
        <v>78</v>
      </c>
      <c r="N184" t="s">
        <v>248</v>
      </c>
      <c r="O184" t="s">
        <v>3034</v>
      </c>
      <c r="P184" t="s">
        <v>3035</v>
      </c>
      <c r="Q184" t="s">
        <v>3036</v>
      </c>
      <c r="R184" t="s">
        <v>74</v>
      </c>
      <c r="S184" t="s">
        <v>74</v>
      </c>
      <c r="T184" t="s">
        <v>3097</v>
      </c>
      <c r="U184" t="s">
        <v>3098</v>
      </c>
      <c r="V184" t="s">
        <v>3099</v>
      </c>
      <c r="W184" t="s">
        <v>3100</v>
      </c>
      <c r="X184" t="s">
        <v>3101</v>
      </c>
      <c r="Y184" t="s">
        <v>3102</v>
      </c>
      <c r="Z184" t="s">
        <v>3103</v>
      </c>
      <c r="AA184" t="s">
        <v>3104</v>
      </c>
      <c r="AB184" t="s">
        <v>3105</v>
      </c>
      <c r="AC184" t="s">
        <v>3106</v>
      </c>
      <c r="AD184" t="s">
        <v>3107</v>
      </c>
      <c r="AE184" t="s">
        <v>3108</v>
      </c>
      <c r="AF184" t="s">
        <v>74</v>
      </c>
      <c r="AG184">
        <v>8</v>
      </c>
      <c r="AH184">
        <v>1</v>
      </c>
      <c r="AI184">
        <v>1</v>
      </c>
      <c r="AJ184">
        <v>0</v>
      </c>
      <c r="AK184">
        <v>0</v>
      </c>
      <c r="AL184" t="s">
        <v>2998</v>
      </c>
      <c r="AM184" t="s">
        <v>678</v>
      </c>
      <c r="AN184" t="s">
        <v>2999</v>
      </c>
      <c r="AO184" t="s">
        <v>3049</v>
      </c>
      <c r="AP184" t="s">
        <v>74</v>
      </c>
      <c r="AQ184" t="s">
        <v>3050</v>
      </c>
      <c r="AR184" t="s">
        <v>3051</v>
      </c>
      <c r="AS184" t="s">
        <v>74</v>
      </c>
      <c r="AT184" t="s">
        <v>74</v>
      </c>
      <c r="AU184">
        <v>2007</v>
      </c>
      <c r="AV184" t="s">
        <v>74</v>
      </c>
      <c r="AW184" t="s">
        <v>74</v>
      </c>
      <c r="AX184" t="s">
        <v>74</v>
      </c>
      <c r="AY184" t="s">
        <v>74</v>
      </c>
      <c r="AZ184" t="s">
        <v>74</v>
      </c>
      <c r="BA184" t="s">
        <v>74</v>
      </c>
      <c r="BB184">
        <v>2423</v>
      </c>
      <c r="BC184" t="s">
        <v>617</v>
      </c>
      <c r="BD184" t="s">
        <v>74</v>
      </c>
      <c r="BE184" t="s">
        <v>3109</v>
      </c>
      <c r="BF184" t="str">
        <f>HYPERLINK("http://dx.doi.org/10.1109/IGARSS.2007.4423331","http://dx.doi.org/10.1109/IGARSS.2007.4423331")</f>
        <v>http://dx.doi.org/10.1109/IGARSS.2007.4423331</v>
      </c>
      <c r="BG184" t="s">
        <v>74</v>
      </c>
      <c r="BH184" t="s">
        <v>74</v>
      </c>
      <c r="BI184">
        <v>2</v>
      </c>
      <c r="BJ184" t="s">
        <v>3053</v>
      </c>
      <c r="BK184" t="s">
        <v>266</v>
      </c>
      <c r="BL184" t="s">
        <v>3054</v>
      </c>
      <c r="BM184" t="s">
        <v>3055</v>
      </c>
      <c r="BN184" t="s">
        <v>74</v>
      </c>
      <c r="BO184" t="s">
        <v>74</v>
      </c>
      <c r="BP184" t="s">
        <v>74</v>
      </c>
      <c r="BQ184" t="s">
        <v>74</v>
      </c>
      <c r="BR184" t="s">
        <v>100</v>
      </c>
      <c r="BS184" t="s">
        <v>3110</v>
      </c>
      <c r="BT184" t="str">
        <f>HYPERLINK("https%3A%2F%2Fwww.webofscience.com%2Fwos%2Fwoscc%2Ffull-record%2FWOS:000256657302174","View Full Record in Web of Science")</f>
        <v>View Full Record in Web of Science</v>
      </c>
    </row>
    <row r="185" spans="1:72" x14ac:dyDescent="0.15">
      <c r="A185" t="s">
        <v>241</v>
      </c>
      <c r="B185" t="s">
        <v>3111</v>
      </c>
      <c r="C185" t="s">
        <v>74</v>
      </c>
      <c r="D185" t="s">
        <v>74</v>
      </c>
      <c r="E185" t="s">
        <v>2998</v>
      </c>
      <c r="F185" t="s">
        <v>3112</v>
      </c>
      <c r="G185" t="s">
        <v>74</v>
      </c>
      <c r="H185" t="s">
        <v>74</v>
      </c>
      <c r="I185" t="s">
        <v>3113</v>
      </c>
      <c r="J185" t="s">
        <v>3032</v>
      </c>
      <c r="K185" t="s">
        <v>3033</v>
      </c>
      <c r="L185" t="s">
        <v>74</v>
      </c>
      <c r="M185" t="s">
        <v>78</v>
      </c>
      <c r="N185" t="s">
        <v>248</v>
      </c>
      <c r="O185" t="s">
        <v>3034</v>
      </c>
      <c r="P185" t="s">
        <v>3035</v>
      </c>
      <c r="Q185" t="s">
        <v>3036</v>
      </c>
      <c r="R185" t="s">
        <v>74</v>
      </c>
      <c r="S185" t="s">
        <v>74</v>
      </c>
      <c r="T185" t="s">
        <v>3114</v>
      </c>
      <c r="U185" t="s">
        <v>74</v>
      </c>
      <c r="V185" t="s">
        <v>3115</v>
      </c>
      <c r="W185" t="s">
        <v>3116</v>
      </c>
      <c r="X185" t="s">
        <v>3117</v>
      </c>
      <c r="Y185" t="s">
        <v>3118</v>
      </c>
      <c r="Z185" t="s">
        <v>3119</v>
      </c>
      <c r="AA185" t="s">
        <v>3120</v>
      </c>
      <c r="AB185" t="s">
        <v>3121</v>
      </c>
      <c r="AC185" t="s">
        <v>74</v>
      </c>
      <c r="AD185" t="s">
        <v>74</v>
      </c>
      <c r="AE185" t="s">
        <v>74</v>
      </c>
      <c r="AF185" t="s">
        <v>74</v>
      </c>
      <c r="AG185">
        <v>11</v>
      </c>
      <c r="AH185">
        <v>2</v>
      </c>
      <c r="AI185">
        <v>3</v>
      </c>
      <c r="AJ185">
        <v>0</v>
      </c>
      <c r="AK185">
        <v>1</v>
      </c>
      <c r="AL185" t="s">
        <v>2998</v>
      </c>
      <c r="AM185" t="s">
        <v>678</v>
      </c>
      <c r="AN185" t="s">
        <v>2999</v>
      </c>
      <c r="AO185" t="s">
        <v>3049</v>
      </c>
      <c r="AP185" t="s">
        <v>74</v>
      </c>
      <c r="AQ185" t="s">
        <v>3050</v>
      </c>
      <c r="AR185" t="s">
        <v>3051</v>
      </c>
      <c r="AS185" t="s">
        <v>74</v>
      </c>
      <c r="AT185" t="s">
        <v>74</v>
      </c>
      <c r="AU185">
        <v>2007</v>
      </c>
      <c r="AV185" t="s">
        <v>74</v>
      </c>
      <c r="AW185" t="s">
        <v>74</v>
      </c>
      <c r="AX185" t="s">
        <v>74</v>
      </c>
      <c r="AY185" t="s">
        <v>74</v>
      </c>
      <c r="AZ185" t="s">
        <v>74</v>
      </c>
      <c r="BA185" t="s">
        <v>74</v>
      </c>
      <c r="BB185">
        <v>4225</v>
      </c>
      <c r="BC185">
        <v>4228</v>
      </c>
      <c r="BD185" t="s">
        <v>74</v>
      </c>
      <c r="BE185" t="s">
        <v>74</v>
      </c>
      <c r="BF185" t="s">
        <v>74</v>
      </c>
      <c r="BG185" t="s">
        <v>74</v>
      </c>
      <c r="BH185" t="s">
        <v>74</v>
      </c>
      <c r="BI185">
        <v>4</v>
      </c>
      <c r="BJ185" t="s">
        <v>3053</v>
      </c>
      <c r="BK185" t="s">
        <v>266</v>
      </c>
      <c r="BL185" t="s">
        <v>3054</v>
      </c>
      <c r="BM185" t="s">
        <v>3055</v>
      </c>
      <c r="BN185" t="s">
        <v>74</v>
      </c>
      <c r="BO185" t="s">
        <v>74</v>
      </c>
      <c r="BP185" t="s">
        <v>74</v>
      </c>
      <c r="BQ185" t="s">
        <v>74</v>
      </c>
      <c r="BR185" t="s">
        <v>100</v>
      </c>
      <c r="BS185" t="s">
        <v>3122</v>
      </c>
      <c r="BT185" t="str">
        <f>HYPERLINK("https%3A%2F%2Fwww.webofscience.com%2Fwos%2Fwoscc%2Ffull-record%2FWOS:000256657305175","View Full Record in Web of Science")</f>
        <v>View Full Record in Web of Science</v>
      </c>
    </row>
    <row r="186" spans="1:72" x14ac:dyDescent="0.15">
      <c r="A186" t="s">
        <v>241</v>
      </c>
      <c r="B186" t="s">
        <v>3123</v>
      </c>
      <c r="C186" t="s">
        <v>74</v>
      </c>
      <c r="D186" t="s">
        <v>74</v>
      </c>
      <c r="E186" t="s">
        <v>2998</v>
      </c>
      <c r="F186" t="s">
        <v>3124</v>
      </c>
      <c r="G186" t="s">
        <v>74</v>
      </c>
      <c r="H186" t="s">
        <v>74</v>
      </c>
      <c r="I186" t="s">
        <v>3125</v>
      </c>
      <c r="J186" t="s">
        <v>3032</v>
      </c>
      <c r="K186" t="s">
        <v>3126</v>
      </c>
      <c r="L186" t="s">
        <v>74</v>
      </c>
      <c r="M186" t="s">
        <v>78</v>
      </c>
      <c r="N186" t="s">
        <v>248</v>
      </c>
      <c r="O186" t="s">
        <v>3034</v>
      </c>
      <c r="P186" t="s">
        <v>3035</v>
      </c>
      <c r="Q186" t="s">
        <v>3036</v>
      </c>
      <c r="R186" t="s">
        <v>74</v>
      </c>
      <c r="S186" t="s">
        <v>74</v>
      </c>
      <c r="T186" t="s">
        <v>3127</v>
      </c>
      <c r="U186" t="s">
        <v>74</v>
      </c>
      <c r="V186" t="s">
        <v>3128</v>
      </c>
      <c r="W186" t="s">
        <v>3129</v>
      </c>
      <c r="X186" t="s">
        <v>3130</v>
      </c>
      <c r="Y186" t="s">
        <v>3131</v>
      </c>
      <c r="Z186" t="s">
        <v>74</v>
      </c>
      <c r="AA186" t="s">
        <v>3132</v>
      </c>
      <c r="AB186" t="s">
        <v>3133</v>
      </c>
      <c r="AC186" t="s">
        <v>74</v>
      </c>
      <c r="AD186" t="s">
        <v>74</v>
      </c>
      <c r="AE186" t="s">
        <v>74</v>
      </c>
      <c r="AF186" t="s">
        <v>74</v>
      </c>
      <c r="AG186">
        <v>10</v>
      </c>
      <c r="AH186">
        <v>1</v>
      </c>
      <c r="AI186">
        <v>1</v>
      </c>
      <c r="AJ186">
        <v>0</v>
      </c>
      <c r="AK186">
        <v>0</v>
      </c>
      <c r="AL186" t="s">
        <v>2998</v>
      </c>
      <c r="AM186" t="s">
        <v>678</v>
      </c>
      <c r="AN186" t="s">
        <v>2999</v>
      </c>
      <c r="AO186" t="s">
        <v>74</v>
      </c>
      <c r="AP186" t="s">
        <v>74</v>
      </c>
      <c r="AQ186" t="s">
        <v>3050</v>
      </c>
      <c r="AR186" t="s">
        <v>3051</v>
      </c>
      <c r="AS186" t="s">
        <v>74</v>
      </c>
      <c r="AT186" t="s">
        <v>74</v>
      </c>
      <c r="AU186">
        <v>2007</v>
      </c>
      <c r="AV186" t="s">
        <v>74</v>
      </c>
      <c r="AW186" t="s">
        <v>74</v>
      </c>
      <c r="AX186" t="s">
        <v>74</v>
      </c>
      <c r="AY186" t="s">
        <v>74</v>
      </c>
      <c r="AZ186" t="s">
        <v>74</v>
      </c>
      <c r="BA186" t="s">
        <v>74</v>
      </c>
      <c r="BB186">
        <v>4233</v>
      </c>
      <c r="BC186">
        <v>4236</v>
      </c>
      <c r="BD186" t="s">
        <v>74</v>
      </c>
      <c r="BE186" t="s">
        <v>74</v>
      </c>
      <c r="BF186" t="s">
        <v>74</v>
      </c>
      <c r="BG186" t="s">
        <v>74</v>
      </c>
      <c r="BH186" t="s">
        <v>74</v>
      </c>
      <c r="BI186">
        <v>4</v>
      </c>
      <c r="BJ186" t="s">
        <v>3053</v>
      </c>
      <c r="BK186" t="s">
        <v>266</v>
      </c>
      <c r="BL186" t="s">
        <v>3054</v>
      </c>
      <c r="BM186" t="s">
        <v>3055</v>
      </c>
      <c r="BN186" t="s">
        <v>74</v>
      </c>
      <c r="BO186" t="s">
        <v>74</v>
      </c>
      <c r="BP186" t="s">
        <v>74</v>
      </c>
      <c r="BQ186" t="s">
        <v>74</v>
      </c>
      <c r="BR186" t="s">
        <v>100</v>
      </c>
      <c r="BS186" t="s">
        <v>3134</v>
      </c>
      <c r="BT186" t="str">
        <f>HYPERLINK("https%3A%2F%2Fwww.webofscience.com%2Fwos%2Fwoscc%2Ffull-record%2FWOS:000256657305177","View Full Record in Web of Science")</f>
        <v>View Full Record in Web of Science</v>
      </c>
    </row>
    <row r="187" spans="1:72" x14ac:dyDescent="0.15">
      <c r="A187" t="s">
        <v>241</v>
      </c>
      <c r="B187" t="s">
        <v>3135</v>
      </c>
      <c r="C187" t="s">
        <v>74</v>
      </c>
      <c r="D187" t="s">
        <v>74</v>
      </c>
      <c r="E187" t="s">
        <v>2998</v>
      </c>
      <c r="F187" t="s">
        <v>3136</v>
      </c>
      <c r="G187" t="s">
        <v>74</v>
      </c>
      <c r="H187" t="s">
        <v>74</v>
      </c>
      <c r="I187" t="s">
        <v>3137</v>
      </c>
      <c r="J187" t="s">
        <v>3032</v>
      </c>
      <c r="K187" t="s">
        <v>3126</v>
      </c>
      <c r="L187" t="s">
        <v>74</v>
      </c>
      <c r="M187" t="s">
        <v>78</v>
      </c>
      <c r="N187" t="s">
        <v>248</v>
      </c>
      <c r="O187" t="s">
        <v>3034</v>
      </c>
      <c r="P187" t="s">
        <v>3035</v>
      </c>
      <c r="Q187" t="s">
        <v>3036</v>
      </c>
      <c r="R187" t="s">
        <v>74</v>
      </c>
      <c r="S187" t="s">
        <v>74</v>
      </c>
      <c r="T187" t="s">
        <v>3138</v>
      </c>
      <c r="U187" t="s">
        <v>3139</v>
      </c>
      <c r="V187" t="s">
        <v>3140</v>
      </c>
      <c r="W187" t="s">
        <v>3141</v>
      </c>
      <c r="X187" t="s">
        <v>3142</v>
      </c>
      <c r="Y187" t="s">
        <v>3143</v>
      </c>
      <c r="Z187" t="s">
        <v>74</v>
      </c>
      <c r="AA187" t="s">
        <v>3144</v>
      </c>
      <c r="AB187" t="s">
        <v>3145</v>
      </c>
      <c r="AC187" t="s">
        <v>74</v>
      </c>
      <c r="AD187" t="s">
        <v>74</v>
      </c>
      <c r="AE187" t="s">
        <v>74</v>
      </c>
      <c r="AF187" t="s">
        <v>74</v>
      </c>
      <c r="AG187">
        <v>15</v>
      </c>
      <c r="AH187">
        <v>1</v>
      </c>
      <c r="AI187">
        <v>1</v>
      </c>
      <c r="AJ187">
        <v>0</v>
      </c>
      <c r="AK187">
        <v>2</v>
      </c>
      <c r="AL187" t="s">
        <v>2998</v>
      </c>
      <c r="AM187" t="s">
        <v>678</v>
      </c>
      <c r="AN187" t="s">
        <v>2999</v>
      </c>
      <c r="AO187" t="s">
        <v>74</v>
      </c>
      <c r="AP187" t="s">
        <v>74</v>
      </c>
      <c r="AQ187" t="s">
        <v>3050</v>
      </c>
      <c r="AR187" t="s">
        <v>3051</v>
      </c>
      <c r="AS187" t="s">
        <v>74</v>
      </c>
      <c r="AT187" t="s">
        <v>74</v>
      </c>
      <c r="AU187">
        <v>2007</v>
      </c>
      <c r="AV187" t="s">
        <v>74</v>
      </c>
      <c r="AW187" t="s">
        <v>74</v>
      </c>
      <c r="AX187" t="s">
        <v>74</v>
      </c>
      <c r="AY187" t="s">
        <v>74</v>
      </c>
      <c r="AZ187" t="s">
        <v>74</v>
      </c>
      <c r="BA187" t="s">
        <v>74</v>
      </c>
      <c r="BB187">
        <v>4249</v>
      </c>
      <c r="BC187">
        <v>4252</v>
      </c>
      <c r="BD187" t="s">
        <v>74</v>
      </c>
      <c r="BE187" t="s">
        <v>74</v>
      </c>
      <c r="BF187" t="s">
        <v>74</v>
      </c>
      <c r="BG187" t="s">
        <v>74</v>
      </c>
      <c r="BH187" t="s">
        <v>74</v>
      </c>
      <c r="BI187">
        <v>4</v>
      </c>
      <c r="BJ187" t="s">
        <v>3053</v>
      </c>
      <c r="BK187" t="s">
        <v>266</v>
      </c>
      <c r="BL187" t="s">
        <v>3054</v>
      </c>
      <c r="BM187" t="s">
        <v>3055</v>
      </c>
      <c r="BN187" t="s">
        <v>74</v>
      </c>
      <c r="BO187" t="s">
        <v>74</v>
      </c>
      <c r="BP187" t="s">
        <v>74</v>
      </c>
      <c r="BQ187" t="s">
        <v>74</v>
      </c>
      <c r="BR187" t="s">
        <v>100</v>
      </c>
      <c r="BS187" t="s">
        <v>3146</v>
      </c>
      <c r="BT187" t="str">
        <f>HYPERLINK("https%3A%2F%2Fwww.webofscience.com%2Fwos%2Fwoscc%2Ffull-record%2FWOS:000256657305181","View Full Record in Web of Science")</f>
        <v>View Full Record in Web of Science</v>
      </c>
    </row>
    <row r="188" spans="1:72" x14ac:dyDescent="0.15">
      <c r="A188" t="s">
        <v>241</v>
      </c>
      <c r="B188" t="s">
        <v>3147</v>
      </c>
      <c r="C188" t="s">
        <v>74</v>
      </c>
      <c r="D188" t="s">
        <v>3148</v>
      </c>
      <c r="E188" t="s">
        <v>74</v>
      </c>
      <c r="F188" t="s">
        <v>3149</v>
      </c>
      <c r="G188" t="s">
        <v>74</v>
      </c>
      <c r="H188" t="s">
        <v>74</v>
      </c>
      <c r="I188" t="s">
        <v>3150</v>
      </c>
      <c r="J188" t="s">
        <v>3151</v>
      </c>
      <c r="K188" t="s">
        <v>3152</v>
      </c>
      <c r="L188" t="s">
        <v>74</v>
      </c>
      <c r="M188" t="s">
        <v>78</v>
      </c>
      <c r="N188" t="s">
        <v>248</v>
      </c>
      <c r="O188" t="s">
        <v>3153</v>
      </c>
      <c r="P188" t="s">
        <v>3154</v>
      </c>
      <c r="Q188" t="s">
        <v>3155</v>
      </c>
      <c r="R188" t="s">
        <v>74</v>
      </c>
      <c r="S188" t="s">
        <v>3156</v>
      </c>
      <c r="T188" t="s">
        <v>3157</v>
      </c>
      <c r="U188" t="s">
        <v>3158</v>
      </c>
      <c r="V188" t="s">
        <v>3159</v>
      </c>
      <c r="W188" t="s">
        <v>3160</v>
      </c>
      <c r="X188" t="s">
        <v>3161</v>
      </c>
      <c r="Y188" t="s">
        <v>3162</v>
      </c>
      <c r="Z188" t="s">
        <v>74</v>
      </c>
      <c r="AA188" t="s">
        <v>74</v>
      </c>
      <c r="AB188" t="s">
        <v>74</v>
      </c>
      <c r="AC188" t="s">
        <v>74</v>
      </c>
      <c r="AD188" t="s">
        <v>74</v>
      </c>
      <c r="AE188" t="s">
        <v>74</v>
      </c>
      <c r="AF188" t="s">
        <v>74</v>
      </c>
      <c r="AG188">
        <v>118</v>
      </c>
      <c r="AH188">
        <v>11</v>
      </c>
      <c r="AI188">
        <v>13</v>
      </c>
      <c r="AJ188">
        <v>0</v>
      </c>
      <c r="AK188">
        <v>7</v>
      </c>
      <c r="AL188" t="s">
        <v>613</v>
      </c>
      <c r="AM188" t="s">
        <v>614</v>
      </c>
      <c r="AN188" t="s">
        <v>615</v>
      </c>
      <c r="AO188" t="s">
        <v>74</v>
      </c>
      <c r="AP188" t="s">
        <v>74</v>
      </c>
      <c r="AQ188" t="s">
        <v>3163</v>
      </c>
      <c r="AR188" t="s">
        <v>3164</v>
      </c>
      <c r="AS188" t="s">
        <v>74</v>
      </c>
      <c r="AT188" t="s">
        <v>74</v>
      </c>
      <c r="AU188">
        <v>2007</v>
      </c>
      <c r="AV188">
        <v>2</v>
      </c>
      <c r="AW188" t="s">
        <v>74</v>
      </c>
      <c r="AX188" t="s">
        <v>74</v>
      </c>
      <c r="AY188" t="s">
        <v>74</v>
      </c>
      <c r="AZ188" t="s">
        <v>74</v>
      </c>
      <c r="BA188" t="s">
        <v>74</v>
      </c>
      <c r="BB188">
        <v>197</v>
      </c>
      <c r="BC188">
        <v>225</v>
      </c>
      <c r="BD188" t="s">
        <v>74</v>
      </c>
      <c r="BE188" t="s">
        <v>74</v>
      </c>
      <c r="BF188" t="s">
        <v>74</v>
      </c>
      <c r="BG188" t="s">
        <v>74</v>
      </c>
      <c r="BH188" t="s">
        <v>74</v>
      </c>
      <c r="BI188">
        <v>29</v>
      </c>
      <c r="BJ188" t="s">
        <v>3165</v>
      </c>
      <c r="BK188" t="s">
        <v>266</v>
      </c>
      <c r="BL188" t="s">
        <v>226</v>
      </c>
      <c r="BM188" t="s">
        <v>3166</v>
      </c>
      <c r="BN188" t="s">
        <v>74</v>
      </c>
      <c r="BO188" t="s">
        <v>74</v>
      </c>
      <c r="BP188" t="s">
        <v>74</v>
      </c>
      <c r="BQ188" t="s">
        <v>74</v>
      </c>
      <c r="BR188" t="s">
        <v>100</v>
      </c>
      <c r="BS188" t="s">
        <v>3167</v>
      </c>
      <c r="BT188" t="str">
        <f>HYPERLINK("https%3A%2F%2Fwww.webofscience.com%2Fwos%2Fwoscc%2Ffull-record%2FWOS:000248254100010","View Full Record in Web of Science")</f>
        <v>View Full Record in Web of Science</v>
      </c>
    </row>
    <row r="189" spans="1:72" x14ac:dyDescent="0.15">
      <c r="A189" t="s">
        <v>241</v>
      </c>
      <c r="B189" t="s">
        <v>3168</v>
      </c>
      <c r="C189" t="s">
        <v>74</v>
      </c>
      <c r="D189" t="s">
        <v>3169</v>
      </c>
      <c r="E189" t="s">
        <v>74</v>
      </c>
      <c r="F189" t="s">
        <v>3170</v>
      </c>
      <c r="G189" t="s">
        <v>74</v>
      </c>
      <c r="H189" t="s">
        <v>74</v>
      </c>
      <c r="I189" t="s">
        <v>3171</v>
      </c>
      <c r="J189" t="s">
        <v>3172</v>
      </c>
      <c r="K189" t="s">
        <v>3173</v>
      </c>
      <c r="L189" t="s">
        <v>74</v>
      </c>
      <c r="M189" t="s">
        <v>78</v>
      </c>
      <c r="N189" t="s">
        <v>248</v>
      </c>
      <c r="O189" t="s">
        <v>3174</v>
      </c>
      <c r="P189" t="s">
        <v>3175</v>
      </c>
      <c r="Q189" t="s">
        <v>2117</v>
      </c>
      <c r="R189" t="s">
        <v>74</v>
      </c>
      <c r="S189" t="s">
        <v>74</v>
      </c>
      <c r="T189" t="s">
        <v>3176</v>
      </c>
      <c r="U189" t="s">
        <v>3177</v>
      </c>
      <c r="V189" t="s">
        <v>3178</v>
      </c>
      <c r="W189" t="s">
        <v>3179</v>
      </c>
      <c r="X189" t="s">
        <v>3180</v>
      </c>
      <c r="Y189" t="s">
        <v>3181</v>
      </c>
      <c r="Z189" t="s">
        <v>3182</v>
      </c>
      <c r="AA189" t="s">
        <v>74</v>
      </c>
      <c r="AB189" t="s">
        <v>74</v>
      </c>
      <c r="AC189" t="s">
        <v>74</v>
      </c>
      <c r="AD189" t="s">
        <v>74</v>
      </c>
      <c r="AE189" t="s">
        <v>74</v>
      </c>
      <c r="AF189" t="s">
        <v>74</v>
      </c>
      <c r="AG189">
        <v>54</v>
      </c>
      <c r="AH189">
        <v>2</v>
      </c>
      <c r="AI189">
        <v>2</v>
      </c>
      <c r="AJ189">
        <v>0</v>
      </c>
      <c r="AK189">
        <v>6</v>
      </c>
      <c r="AL189" t="s">
        <v>2124</v>
      </c>
      <c r="AM189" t="s">
        <v>2125</v>
      </c>
      <c r="AN189" t="s">
        <v>2126</v>
      </c>
      <c r="AO189" t="s">
        <v>2127</v>
      </c>
      <c r="AP189" t="s">
        <v>3183</v>
      </c>
      <c r="AQ189" t="s">
        <v>3184</v>
      </c>
      <c r="AR189" t="s">
        <v>3185</v>
      </c>
      <c r="AS189" t="s">
        <v>74</v>
      </c>
      <c r="AT189" t="s">
        <v>74</v>
      </c>
      <c r="AU189">
        <v>2007</v>
      </c>
      <c r="AV189">
        <v>6694</v>
      </c>
      <c r="AW189" t="s">
        <v>74</v>
      </c>
      <c r="AX189" t="s">
        <v>74</v>
      </c>
      <c r="AY189" t="s">
        <v>74</v>
      </c>
      <c r="AZ189" t="s">
        <v>74</v>
      </c>
      <c r="BA189" t="s">
        <v>74</v>
      </c>
      <c r="BB189" t="s">
        <v>74</v>
      </c>
      <c r="BC189" t="s">
        <v>74</v>
      </c>
      <c r="BD189" t="s">
        <v>3186</v>
      </c>
      <c r="BE189" t="s">
        <v>3187</v>
      </c>
      <c r="BF189" t="str">
        <f>HYPERLINK("http://dx.doi.org/10.1117/12.745960","http://dx.doi.org/10.1117/12.745960")</f>
        <v>http://dx.doi.org/10.1117/12.745960</v>
      </c>
      <c r="BG189" t="s">
        <v>74</v>
      </c>
      <c r="BH189" t="s">
        <v>74</v>
      </c>
      <c r="BI189">
        <v>13</v>
      </c>
      <c r="BJ189" t="s">
        <v>3188</v>
      </c>
      <c r="BK189" t="s">
        <v>266</v>
      </c>
      <c r="BL189" t="s">
        <v>3188</v>
      </c>
      <c r="BM189" t="s">
        <v>3189</v>
      </c>
      <c r="BN189" t="s">
        <v>74</v>
      </c>
      <c r="BO189" t="s">
        <v>74</v>
      </c>
      <c r="BP189" t="s">
        <v>74</v>
      </c>
      <c r="BQ189" t="s">
        <v>74</v>
      </c>
      <c r="BR189" t="s">
        <v>100</v>
      </c>
      <c r="BS189" t="s">
        <v>3190</v>
      </c>
      <c r="BT189" t="str">
        <f>HYPERLINK("https%3A%2F%2Fwww.webofscience.com%2Fwos%2Fwoscc%2Ffull-record%2FWOS:000251489700043","View Full Record in Web of Science")</f>
        <v>View Full Record in Web of Science</v>
      </c>
    </row>
    <row r="190" spans="1:72" x14ac:dyDescent="0.15">
      <c r="A190" t="s">
        <v>72</v>
      </c>
      <c r="B190" t="s">
        <v>3191</v>
      </c>
      <c r="C190" t="s">
        <v>74</v>
      </c>
      <c r="D190" t="s">
        <v>74</v>
      </c>
      <c r="E190" t="s">
        <v>74</v>
      </c>
      <c r="F190" t="s">
        <v>3192</v>
      </c>
      <c r="G190" t="s">
        <v>74</v>
      </c>
      <c r="H190" t="s">
        <v>74</v>
      </c>
      <c r="I190" t="s">
        <v>3193</v>
      </c>
      <c r="J190" t="s">
        <v>3194</v>
      </c>
      <c r="K190" t="s">
        <v>74</v>
      </c>
      <c r="L190" t="s">
        <v>74</v>
      </c>
      <c r="M190" t="s">
        <v>78</v>
      </c>
      <c r="N190" t="s">
        <v>79</v>
      </c>
      <c r="O190" t="s">
        <v>74</v>
      </c>
      <c r="P190" t="s">
        <v>74</v>
      </c>
      <c r="Q190" t="s">
        <v>74</v>
      </c>
      <c r="R190" t="s">
        <v>74</v>
      </c>
      <c r="S190" t="s">
        <v>74</v>
      </c>
      <c r="T190" t="s">
        <v>3195</v>
      </c>
      <c r="U190" t="s">
        <v>3196</v>
      </c>
      <c r="V190" t="s">
        <v>3197</v>
      </c>
      <c r="W190" t="s">
        <v>3198</v>
      </c>
      <c r="X190" t="s">
        <v>3199</v>
      </c>
      <c r="Y190" t="s">
        <v>3200</v>
      </c>
      <c r="Z190" t="s">
        <v>3201</v>
      </c>
      <c r="AA190" t="s">
        <v>74</v>
      </c>
      <c r="AB190" t="s">
        <v>3202</v>
      </c>
      <c r="AC190" t="s">
        <v>74</v>
      </c>
      <c r="AD190" t="s">
        <v>74</v>
      </c>
      <c r="AE190" t="s">
        <v>74</v>
      </c>
      <c r="AF190" t="s">
        <v>74</v>
      </c>
      <c r="AG190">
        <v>32</v>
      </c>
      <c r="AH190">
        <v>224</v>
      </c>
      <c r="AI190">
        <v>234</v>
      </c>
      <c r="AJ190">
        <v>3</v>
      </c>
      <c r="AK190">
        <v>40</v>
      </c>
      <c r="AL190" t="s">
        <v>159</v>
      </c>
      <c r="AM190" t="s">
        <v>160</v>
      </c>
      <c r="AN190" t="s">
        <v>161</v>
      </c>
      <c r="AO190" t="s">
        <v>3203</v>
      </c>
      <c r="AP190" t="s">
        <v>3204</v>
      </c>
      <c r="AQ190" t="s">
        <v>74</v>
      </c>
      <c r="AR190" t="s">
        <v>3205</v>
      </c>
      <c r="AS190" t="s">
        <v>3206</v>
      </c>
      <c r="AT190" t="s">
        <v>661</v>
      </c>
      <c r="AU190">
        <v>2007</v>
      </c>
      <c r="AV190">
        <v>27</v>
      </c>
      <c r="AW190">
        <v>1</v>
      </c>
      <c r="AX190" t="s">
        <v>74</v>
      </c>
      <c r="AY190" t="s">
        <v>74</v>
      </c>
      <c r="AZ190" t="s">
        <v>74</v>
      </c>
      <c r="BA190" t="s">
        <v>74</v>
      </c>
      <c r="BB190">
        <v>109</v>
      </c>
      <c r="BC190">
        <v>121</v>
      </c>
      <c r="BD190" t="s">
        <v>74</v>
      </c>
      <c r="BE190" t="s">
        <v>3207</v>
      </c>
      <c r="BF190" t="str">
        <f>HYPERLINK("http://dx.doi.org/10.1002/joc.1370","http://dx.doi.org/10.1002/joc.1370")</f>
        <v>http://dx.doi.org/10.1002/joc.1370</v>
      </c>
      <c r="BG190" t="s">
        <v>74</v>
      </c>
      <c r="BH190" t="s">
        <v>74</v>
      </c>
      <c r="BI190">
        <v>13</v>
      </c>
      <c r="BJ190" t="s">
        <v>3208</v>
      </c>
      <c r="BK190" t="s">
        <v>97</v>
      </c>
      <c r="BL190" t="s">
        <v>3208</v>
      </c>
      <c r="BM190" t="s">
        <v>3209</v>
      </c>
      <c r="BN190" t="s">
        <v>74</v>
      </c>
      <c r="BO190" t="s">
        <v>74</v>
      </c>
      <c r="BP190" t="s">
        <v>74</v>
      </c>
      <c r="BQ190" t="s">
        <v>74</v>
      </c>
      <c r="BR190" t="s">
        <v>100</v>
      </c>
      <c r="BS190" t="s">
        <v>3210</v>
      </c>
      <c r="BT190" t="str">
        <f>HYPERLINK("https%3A%2F%2Fwww.webofscience.com%2Fwos%2Fwoscc%2Ffull-record%2FWOS:000244190700007","View Full Record in Web of Science")</f>
        <v>View Full Record in Web of Science</v>
      </c>
    </row>
    <row r="191" spans="1:72" x14ac:dyDescent="0.15">
      <c r="A191" t="s">
        <v>72</v>
      </c>
      <c r="B191" t="s">
        <v>3211</v>
      </c>
      <c r="C191" t="s">
        <v>74</v>
      </c>
      <c r="D191" t="s">
        <v>74</v>
      </c>
      <c r="E191" t="s">
        <v>74</v>
      </c>
      <c r="F191" t="s">
        <v>3212</v>
      </c>
      <c r="G191" t="s">
        <v>74</v>
      </c>
      <c r="H191" t="s">
        <v>74</v>
      </c>
      <c r="I191" t="s">
        <v>3213</v>
      </c>
      <c r="J191" t="s">
        <v>3214</v>
      </c>
      <c r="K191" t="s">
        <v>74</v>
      </c>
      <c r="L191" t="s">
        <v>74</v>
      </c>
      <c r="M191" t="s">
        <v>78</v>
      </c>
      <c r="N191" t="s">
        <v>1431</v>
      </c>
      <c r="O191" t="s">
        <v>74</v>
      </c>
      <c r="P191" t="s">
        <v>74</v>
      </c>
      <c r="Q191" t="s">
        <v>74</v>
      </c>
      <c r="R191" t="s">
        <v>74</v>
      </c>
      <c r="S191" t="s">
        <v>74</v>
      </c>
      <c r="T191" t="s">
        <v>74</v>
      </c>
      <c r="U191" t="s">
        <v>74</v>
      </c>
      <c r="V191" t="s">
        <v>74</v>
      </c>
      <c r="W191" t="s">
        <v>3215</v>
      </c>
      <c r="X191" t="s">
        <v>3216</v>
      </c>
      <c r="Y191" t="s">
        <v>3217</v>
      </c>
      <c r="Z191" t="s">
        <v>74</v>
      </c>
      <c r="AA191" t="s">
        <v>3218</v>
      </c>
      <c r="AB191" t="s">
        <v>3219</v>
      </c>
      <c r="AC191" t="s">
        <v>74</v>
      </c>
      <c r="AD191" t="s">
        <v>74</v>
      </c>
      <c r="AE191" t="s">
        <v>74</v>
      </c>
      <c r="AF191" t="s">
        <v>74</v>
      </c>
      <c r="AG191">
        <v>3</v>
      </c>
      <c r="AH191">
        <v>17</v>
      </c>
      <c r="AI191">
        <v>18</v>
      </c>
      <c r="AJ191">
        <v>0</v>
      </c>
      <c r="AK191">
        <v>8</v>
      </c>
      <c r="AL191" t="s">
        <v>2428</v>
      </c>
      <c r="AM191" t="s">
        <v>2429</v>
      </c>
      <c r="AN191" t="s">
        <v>3220</v>
      </c>
      <c r="AO191" t="s">
        <v>3221</v>
      </c>
      <c r="AP191" t="s">
        <v>74</v>
      </c>
      <c r="AQ191" t="s">
        <v>74</v>
      </c>
      <c r="AR191" t="s">
        <v>3222</v>
      </c>
      <c r="AS191" t="s">
        <v>3223</v>
      </c>
      <c r="AT191" t="s">
        <v>661</v>
      </c>
      <c r="AU191">
        <v>2007</v>
      </c>
      <c r="AV191">
        <v>28</v>
      </c>
      <c r="AW191" t="s">
        <v>94</v>
      </c>
      <c r="AX191" t="s">
        <v>74</v>
      </c>
      <c r="AY191" t="s">
        <v>74</v>
      </c>
      <c r="AZ191" t="s">
        <v>74</v>
      </c>
      <c r="BA191" t="s">
        <v>74</v>
      </c>
      <c r="BB191">
        <v>1</v>
      </c>
      <c r="BC191">
        <v>2</v>
      </c>
      <c r="BD191" t="s">
        <v>74</v>
      </c>
      <c r="BE191" t="s">
        <v>3224</v>
      </c>
      <c r="BF191" t="str">
        <f>HYPERLINK("http://dx.doi.org/10.1080/01431160601143695","http://dx.doi.org/10.1080/01431160601143695")</f>
        <v>http://dx.doi.org/10.1080/01431160601143695</v>
      </c>
      <c r="BG191" t="s">
        <v>74</v>
      </c>
      <c r="BH191" t="s">
        <v>74</v>
      </c>
      <c r="BI191">
        <v>2</v>
      </c>
      <c r="BJ191" t="s">
        <v>3225</v>
      </c>
      <c r="BK191" t="s">
        <v>97</v>
      </c>
      <c r="BL191" t="s">
        <v>3225</v>
      </c>
      <c r="BM191" t="s">
        <v>3226</v>
      </c>
      <c r="BN191" t="s">
        <v>74</v>
      </c>
      <c r="BO191" t="s">
        <v>74</v>
      </c>
      <c r="BP191" t="s">
        <v>74</v>
      </c>
      <c r="BQ191" t="s">
        <v>74</v>
      </c>
      <c r="BR191" t="s">
        <v>100</v>
      </c>
      <c r="BS191" t="s">
        <v>3227</v>
      </c>
      <c r="BT191" t="str">
        <f>HYPERLINK("https%3A%2F%2Fwww.webofscience.com%2Fwos%2Fwoscc%2Ffull-record%2FWOS:000244093200001","View Full Record in Web of Science")</f>
        <v>View Full Record in Web of Science</v>
      </c>
    </row>
    <row r="192" spans="1:72" x14ac:dyDescent="0.15">
      <c r="A192" t="s">
        <v>72</v>
      </c>
      <c r="B192" t="s">
        <v>3228</v>
      </c>
      <c r="C192" t="s">
        <v>74</v>
      </c>
      <c r="D192" t="s">
        <v>74</v>
      </c>
      <c r="E192" t="s">
        <v>74</v>
      </c>
      <c r="F192" t="s">
        <v>3229</v>
      </c>
      <c r="G192" t="s">
        <v>74</v>
      </c>
      <c r="H192" t="s">
        <v>74</v>
      </c>
      <c r="I192" t="s">
        <v>3230</v>
      </c>
      <c r="J192" t="s">
        <v>3214</v>
      </c>
      <c r="K192" t="s">
        <v>74</v>
      </c>
      <c r="L192" t="s">
        <v>74</v>
      </c>
      <c r="M192" t="s">
        <v>78</v>
      </c>
      <c r="N192" t="s">
        <v>79</v>
      </c>
      <c r="O192" t="s">
        <v>74</v>
      </c>
      <c r="P192" t="s">
        <v>74</v>
      </c>
      <c r="Q192" t="s">
        <v>74</v>
      </c>
      <c r="R192" t="s">
        <v>74</v>
      </c>
      <c r="S192" t="s">
        <v>74</v>
      </c>
      <c r="T192" t="s">
        <v>74</v>
      </c>
      <c r="U192" t="s">
        <v>3231</v>
      </c>
      <c r="V192" t="s">
        <v>3232</v>
      </c>
      <c r="W192" t="s">
        <v>3233</v>
      </c>
      <c r="X192" t="s">
        <v>3234</v>
      </c>
      <c r="Y192" t="s">
        <v>3235</v>
      </c>
      <c r="Z192" t="s">
        <v>3236</v>
      </c>
      <c r="AA192" t="s">
        <v>3237</v>
      </c>
      <c r="AB192" t="s">
        <v>3238</v>
      </c>
      <c r="AC192" t="s">
        <v>74</v>
      </c>
      <c r="AD192" t="s">
        <v>74</v>
      </c>
      <c r="AE192" t="s">
        <v>74</v>
      </c>
      <c r="AF192" t="s">
        <v>74</v>
      </c>
      <c r="AG192">
        <v>19</v>
      </c>
      <c r="AH192">
        <v>6</v>
      </c>
      <c r="AI192">
        <v>6</v>
      </c>
      <c r="AJ192">
        <v>0</v>
      </c>
      <c r="AK192">
        <v>1</v>
      </c>
      <c r="AL192" t="s">
        <v>2428</v>
      </c>
      <c r="AM192" t="s">
        <v>2429</v>
      </c>
      <c r="AN192" t="s">
        <v>2430</v>
      </c>
      <c r="AO192" t="s">
        <v>3221</v>
      </c>
      <c r="AP192" t="s">
        <v>3239</v>
      </c>
      <c r="AQ192" t="s">
        <v>74</v>
      </c>
      <c r="AR192" t="s">
        <v>3222</v>
      </c>
      <c r="AS192" t="s">
        <v>3223</v>
      </c>
      <c r="AT192" t="s">
        <v>74</v>
      </c>
      <c r="AU192">
        <v>2007</v>
      </c>
      <c r="AV192">
        <v>28</v>
      </c>
      <c r="AW192">
        <v>6</v>
      </c>
      <c r="AX192" t="s">
        <v>74</v>
      </c>
      <c r="AY192" t="s">
        <v>74</v>
      </c>
      <c r="AZ192" t="s">
        <v>74</v>
      </c>
      <c r="BA192" t="s">
        <v>74</v>
      </c>
      <c r="BB192">
        <v>1391</v>
      </c>
      <c r="BC192">
        <v>1396</v>
      </c>
      <c r="BD192" t="s">
        <v>74</v>
      </c>
      <c r="BE192" t="s">
        <v>3240</v>
      </c>
      <c r="BF192" t="str">
        <f>HYPERLINK("http://dx.doi.org/10.1080/01431160600768021","http://dx.doi.org/10.1080/01431160600768021")</f>
        <v>http://dx.doi.org/10.1080/01431160600768021</v>
      </c>
      <c r="BG192" t="s">
        <v>74</v>
      </c>
      <c r="BH192" t="s">
        <v>74</v>
      </c>
      <c r="BI192">
        <v>6</v>
      </c>
      <c r="BJ192" t="s">
        <v>3225</v>
      </c>
      <c r="BK192" t="s">
        <v>97</v>
      </c>
      <c r="BL192" t="s">
        <v>3225</v>
      </c>
      <c r="BM192" t="s">
        <v>3241</v>
      </c>
      <c r="BN192" t="s">
        <v>74</v>
      </c>
      <c r="BO192" t="s">
        <v>74</v>
      </c>
      <c r="BP192" t="s">
        <v>74</v>
      </c>
      <c r="BQ192" t="s">
        <v>74</v>
      </c>
      <c r="BR192" t="s">
        <v>100</v>
      </c>
      <c r="BS192" t="s">
        <v>3242</v>
      </c>
      <c r="BT192" t="str">
        <f>HYPERLINK("https%3A%2F%2Fwww.webofscience.com%2Fwos%2Fwoscc%2Ffull-record%2FWOS:000246721600002","View Full Record in Web of Science")</f>
        <v>View Full Record in Web of Science</v>
      </c>
    </row>
    <row r="193" spans="1:72" x14ac:dyDescent="0.15">
      <c r="A193" t="s">
        <v>213</v>
      </c>
      <c r="B193" t="s">
        <v>3243</v>
      </c>
      <c r="C193" t="s">
        <v>74</v>
      </c>
      <c r="D193" t="s">
        <v>74</v>
      </c>
      <c r="E193" t="s">
        <v>74</v>
      </c>
      <c r="F193" t="s">
        <v>3243</v>
      </c>
      <c r="G193" t="s">
        <v>74</v>
      </c>
      <c r="H193" t="s">
        <v>74</v>
      </c>
      <c r="I193" t="s">
        <v>3244</v>
      </c>
      <c r="J193" t="s">
        <v>3245</v>
      </c>
      <c r="K193" t="s">
        <v>74</v>
      </c>
      <c r="L193" t="s">
        <v>74</v>
      </c>
      <c r="M193" t="s">
        <v>78</v>
      </c>
      <c r="N193" t="s">
        <v>3246</v>
      </c>
      <c r="O193" t="s">
        <v>74</v>
      </c>
      <c r="P193" t="s">
        <v>74</v>
      </c>
      <c r="Q193" t="s">
        <v>74</v>
      </c>
      <c r="R193" t="s">
        <v>74</v>
      </c>
      <c r="S193" t="s">
        <v>74</v>
      </c>
      <c r="T193" t="s">
        <v>74</v>
      </c>
      <c r="U193" t="s">
        <v>3247</v>
      </c>
      <c r="V193" t="s">
        <v>74</v>
      </c>
      <c r="W193" t="s">
        <v>74</v>
      </c>
      <c r="X193" t="s">
        <v>74</v>
      </c>
      <c r="Y193" t="s">
        <v>74</v>
      </c>
      <c r="Z193" t="s">
        <v>74</v>
      </c>
      <c r="AA193" t="s">
        <v>74</v>
      </c>
      <c r="AB193" t="s">
        <v>74</v>
      </c>
      <c r="AC193" t="s">
        <v>74</v>
      </c>
      <c r="AD193" t="s">
        <v>74</v>
      </c>
      <c r="AE193" t="s">
        <v>74</v>
      </c>
      <c r="AF193" t="s">
        <v>74</v>
      </c>
      <c r="AG193">
        <v>181</v>
      </c>
      <c r="AH193">
        <v>0</v>
      </c>
      <c r="AI193">
        <v>0</v>
      </c>
      <c r="AJ193">
        <v>0</v>
      </c>
      <c r="AK193">
        <v>1</v>
      </c>
      <c r="AL193" t="s">
        <v>221</v>
      </c>
      <c r="AM193" t="s">
        <v>222</v>
      </c>
      <c r="AN193" t="s">
        <v>223</v>
      </c>
      <c r="AO193" t="s">
        <v>74</v>
      </c>
      <c r="AP193" t="s">
        <v>74</v>
      </c>
      <c r="AQ193" t="s">
        <v>3248</v>
      </c>
      <c r="AR193" t="s">
        <v>74</v>
      </c>
      <c r="AS193" t="s">
        <v>74</v>
      </c>
      <c r="AT193" t="s">
        <v>74</v>
      </c>
      <c r="AU193">
        <v>2007</v>
      </c>
      <c r="AV193" t="s">
        <v>74</v>
      </c>
      <c r="AW193" t="s">
        <v>74</v>
      </c>
      <c r="AX193" t="s">
        <v>74</v>
      </c>
      <c r="AY193" t="s">
        <v>74</v>
      </c>
      <c r="AZ193" t="s">
        <v>74</v>
      </c>
      <c r="BA193" t="s">
        <v>74</v>
      </c>
      <c r="BB193">
        <v>1</v>
      </c>
      <c r="BC193">
        <v>267</v>
      </c>
      <c r="BD193" t="s">
        <v>74</v>
      </c>
      <c r="BE193" t="s">
        <v>3249</v>
      </c>
      <c r="BF193" t="str">
        <f>HYPERLINK("http://dx.doi.org/10.1017/CBO9780511801198","http://dx.doi.org/10.1017/CBO9780511801198")</f>
        <v>http://dx.doi.org/10.1017/CBO9780511801198</v>
      </c>
      <c r="BG193" t="s">
        <v>74</v>
      </c>
      <c r="BH193" t="s">
        <v>74</v>
      </c>
      <c r="BI193">
        <v>267</v>
      </c>
      <c r="BJ193" t="s">
        <v>1260</v>
      </c>
      <c r="BK193" t="s">
        <v>238</v>
      </c>
      <c r="BL193" t="s">
        <v>1260</v>
      </c>
      <c r="BM193" t="s">
        <v>3250</v>
      </c>
      <c r="BN193" t="s">
        <v>74</v>
      </c>
      <c r="BO193" t="s">
        <v>74</v>
      </c>
      <c r="BP193" t="s">
        <v>74</v>
      </c>
      <c r="BQ193" t="s">
        <v>74</v>
      </c>
      <c r="BR193" t="s">
        <v>100</v>
      </c>
      <c r="BS193" t="s">
        <v>3251</v>
      </c>
      <c r="BT193" t="str">
        <f>HYPERLINK("https%3A%2F%2Fwww.webofscience.com%2Fwos%2Fwoscc%2Ffull-record%2FWOS:000296380600008","View Full Record in Web of Science")</f>
        <v>View Full Record in Web of Science</v>
      </c>
    </row>
    <row r="194" spans="1:72" x14ac:dyDescent="0.15">
      <c r="A194" t="s">
        <v>72</v>
      </c>
      <c r="B194" t="s">
        <v>3252</v>
      </c>
      <c r="C194" t="s">
        <v>74</v>
      </c>
      <c r="D194" t="s">
        <v>74</v>
      </c>
      <c r="E194" t="s">
        <v>74</v>
      </c>
      <c r="F194" t="s">
        <v>3253</v>
      </c>
      <c r="G194" t="s">
        <v>74</v>
      </c>
      <c r="H194" t="s">
        <v>74</v>
      </c>
      <c r="I194" t="s">
        <v>3254</v>
      </c>
      <c r="J194" t="s">
        <v>3255</v>
      </c>
      <c r="K194" t="s">
        <v>74</v>
      </c>
      <c r="L194" t="s">
        <v>74</v>
      </c>
      <c r="M194" t="s">
        <v>78</v>
      </c>
      <c r="N194" t="s">
        <v>366</v>
      </c>
      <c r="O194" t="s">
        <v>74</v>
      </c>
      <c r="P194" t="s">
        <v>74</v>
      </c>
      <c r="Q194" t="s">
        <v>74</v>
      </c>
      <c r="R194" t="s">
        <v>74</v>
      </c>
      <c r="S194" t="s">
        <v>74</v>
      </c>
      <c r="T194" t="s">
        <v>74</v>
      </c>
      <c r="U194" t="s">
        <v>3256</v>
      </c>
      <c r="V194" t="s">
        <v>3257</v>
      </c>
      <c r="W194" t="s">
        <v>3258</v>
      </c>
      <c r="X194" t="s">
        <v>3259</v>
      </c>
      <c r="Y194" t="s">
        <v>3260</v>
      </c>
      <c r="Z194" t="s">
        <v>3261</v>
      </c>
      <c r="AA194" t="s">
        <v>3262</v>
      </c>
      <c r="AB194" t="s">
        <v>74</v>
      </c>
      <c r="AC194" t="s">
        <v>74</v>
      </c>
      <c r="AD194" t="s">
        <v>74</v>
      </c>
      <c r="AE194" t="s">
        <v>74</v>
      </c>
      <c r="AF194" t="s">
        <v>74</v>
      </c>
      <c r="AG194">
        <v>129</v>
      </c>
      <c r="AH194">
        <v>18</v>
      </c>
      <c r="AI194">
        <v>21</v>
      </c>
      <c r="AJ194">
        <v>0</v>
      </c>
      <c r="AK194">
        <v>10</v>
      </c>
      <c r="AL194" t="s">
        <v>568</v>
      </c>
      <c r="AM194" t="s">
        <v>569</v>
      </c>
      <c r="AN194" t="s">
        <v>570</v>
      </c>
      <c r="AO194" t="s">
        <v>3263</v>
      </c>
      <c r="AP194" t="s">
        <v>3264</v>
      </c>
      <c r="AQ194" t="s">
        <v>74</v>
      </c>
      <c r="AR194" t="s">
        <v>3265</v>
      </c>
      <c r="AS194" t="s">
        <v>3266</v>
      </c>
      <c r="AT194" t="s">
        <v>74</v>
      </c>
      <c r="AU194">
        <v>2007</v>
      </c>
      <c r="AV194">
        <v>21</v>
      </c>
      <c r="AW194">
        <v>4</v>
      </c>
      <c r="AX194" t="s">
        <v>74</v>
      </c>
      <c r="AY194" t="s">
        <v>74</v>
      </c>
      <c r="AZ194" t="s">
        <v>74</v>
      </c>
      <c r="BA194" t="s">
        <v>74</v>
      </c>
      <c r="BB194">
        <v>311</v>
      </c>
      <c r="BC194">
        <v>339</v>
      </c>
      <c r="BD194" t="s">
        <v>74</v>
      </c>
      <c r="BE194" t="s">
        <v>3267</v>
      </c>
      <c r="BF194" t="str">
        <f>HYPERLINK("http://dx.doi.org/10.1071/IS06049","http://dx.doi.org/10.1071/IS06049")</f>
        <v>http://dx.doi.org/10.1071/IS06049</v>
      </c>
      <c r="BG194" t="s">
        <v>74</v>
      </c>
      <c r="BH194" t="s">
        <v>74</v>
      </c>
      <c r="BI194">
        <v>29</v>
      </c>
      <c r="BJ194" t="s">
        <v>3268</v>
      </c>
      <c r="BK194" t="s">
        <v>97</v>
      </c>
      <c r="BL194" t="s">
        <v>3268</v>
      </c>
      <c r="BM194" t="s">
        <v>3269</v>
      </c>
      <c r="BN194" t="s">
        <v>74</v>
      </c>
      <c r="BO194" t="s">
        <v>74</v>
      </c>
      <c r="BP194" t="s">
        <v>74</v>
      </c>
      <c r="BQ194" t="s">
        <v>74</v>
      </c>
      <c r="BR194" t="s">
        <v>100</v>
      </c>
      <c r="BS194" t="s">
        <v>3270</v>
      </c>
      <c r="BT194" t="str">
        <f>HYPERLINK("https%3A%2F%2Fwww.webofscience.com%2Fwos%2Fwoscc%2Ffull-record%2FWOS:000249563700002","View Full Record in Web of Science")</f>
        <v>View Full Record in Web of Science</v>
      </c>
    </row>
    <row r="195" spans="1:72" x14ac:dyDescent="0.15">
      <c r="A195" t="s">
        <v>72</v>
      </c>
      <c r="B195" t="s">
        <v>3271</v>
      </c>
      <c r="C195" t="s">
        <v>74</v>
      </c>
      <c r="D195" t="s">
        <v>74</v>
      </c>
      <c r="E195" t="s">
        <v>74</v>
      </c>
      <c r="F195" t="s">
        <v>3272</v>
      </c>
      <c r="G195" t="s">
        <v>74</v>
      </c>
      <c r="H195" t="s">
        <v>74</v>
      </c>
      <c r="I195" t="s">
        <v>3273</v>
      </c>
      <c r="J195" t="s">
        <v>3274</v>
      </c>
      <c r="K195" t="s">
        <v>74</v>
      </c>
      <c r="L195" t="s">
        <v>74</v>
      </c>
      <c r="M195" t="s">
        <v>78</v>
      </c>
      <c r="N195" t="s">
        <v>366</v>
      </c>
      <c r="O195" t="s">
        <v>74</v>
      </c>
      <c r="P195" t="s">
        <v>74</v>
      </c>
      <c r="Q195" t="s">
        <v>74</v>
      </c>
      <c r="R195" t="s">
        <v>74</v>
      </c>
      <c r="S195" t="s">
        <v>74</v>
      </c>
      <c r="T195" t="s">
        <v>3275</v>
      </c>
      <c r="U195" t="s">
        <v>3276</v>
      </c>
      <c r="V195" t="s">
        <v>3277</v>
      </c>
      <c r="W195" t="s">
        <v>3278</v>
      </c>
      <c r="X195" t="s">
        <v>3279</v>
      </c>
      <c r="Y195" t="s">
        <v>3280</v>
      </c>
      <c r="Z195" t="s">
        <v>3281</v>
      </c>
      <c r="AA195" t="s">
        <v>3282</v>
      </c>
      <c r="AB195" t="s">
        <v>3283</v>
      </c>
      <c r="AC195" t="s">
        <v>74</v>
      </c>
      <c r="AD195" t="s">
        <v>74</v>
      </c>
      <c r="AE195" t="s">
        <v>74</v>
      </c>
      <c r="AF195" t="s">
        <v>74</v>
      </c>
      <c r="AG195">
        <v>50</v>
      </c>
      <c r="AH195">
        <v>14</v>
      </c>
      <c r="AI195">
        <v>14</v>
      </c>
      <c r="AJ195">
        <v>0</v>
      </c>
      <c r="AK195">
        <v>4</v>
      </c>
      <c r="AL195" t="s">
        <v>159</v>
      </c>
      <c r="AM195" t="s">
        <v>160</v>
      </c>
      <c r="AN195" t="s">
        <v>161</v>
      </c>
      <c r="AO195" t="s">
        <v>3284</v>
      </c>
      <c r="AP195" t="s">
        <v>3285</v>
      </c>
      <c r="AQ195" t="s">
        <v>74</v>
      </c>
      <c r="AR195" t="s">
        <v>3274</v>
      </c>
      <c r="AS195" t="s">
        <v>3286</v>
      </c>
      <c r="AT195" t="s">
        <v>74</v>
      </c>
      <c r="AU195">
        <v>2007</v>
      </c>
      <c r="AV195">
        <v>59</v>
      </c>
      <c r="AW195" t="s">
        <v>3287</v>
      </c>
      <c r="AX195" t="s">
        <v>74</v>
      </c>
      <c r="AY195" t="s">
        <v>74</v>
      </c>
      <c r="AZ195" t="s">
        <v>74</v>
      </c>
      <c r="BA195" t="s">
        <v>74</v>
      </c>
      <c r="BB195">
        <v>578</v>
      </c>
      <c r="BC195">
        <v>585</v>
      </c>
      <c r="BD195" t="s">
        <v>74</v>
      </c>
      <c r="BE195" t="s">
        <v>3288</v>
      </c>
      <c r="BF195" t="str">
        <f>HYPERLINK("http://dx.doi.org/10.1080/15216540701258165","http://dx.doi.org/10.1080/15216540701258165")</f>
        <v>http://dx.doi.org/10.1080/15216540701258165</v>
      </c>
      <c r="BG195" t="s">
        <v>74</v>
      </c>
      <c r="BH195" t="s">
        <v>74</v>
      </c>
      <c r="BI195">
        <v>8</v>
      </c>
      <c r="BJ195" t="s">
        <v>3289</v>
      </c>
      <c r="BK195" t="s">
        <v>97</v>
      </c>
      <c r="BL195" t="s">
        <v>3289</v>
      </c>
      <c r="BM195" t="s">
        <v>3290</v>
      </c>
      <c r="BN195">
        <v>17701553</v>
      </c>
      <c r="BO195" t="s">
        <v>74</v>
      </c>
      <c r="BP195" t="s">
        <v>74</v>
      </c>
      <c r="BQ195" t="s">
        <v>74</v>
      </c>
      <c r="BR195" t="s">
        <v>100</v>
      </c>
      <c r="BS195" t="s">
        <v>3291</v>
      </c>
      <c r="BT195" t="str">
        <f>HYPERLINK("https%3A%2F%2Fwww.webofscience.com%2Fwos%2Fwoscc%2Ffull-record%2FWOS:000248721400013","View Full Record in Web of Science")</f>
        <v>View Full Record in Web of Science</v>
      </c>
    </row>
    <row r="196" spans="1:72" x14ac:dyDescent="0.15">
      <c r="A196" t="s">
        <v>72</v>
      </c>
      <c r="B196" t="s">
        <v>3292</v>
      </c>
      <c r="C196" t="s">
        <v>74</v>
      </c>
      <c r="D196" t="s">
        <v>74</v>
      </c>
      <c r="E196" t="s">
        <v>74</v>
      </c>
      <c r="F196" t="s">
        <v>3293</v>
      </c>
      <c r="G196" t="s">
        <v>74</v>
      </c>
      <c r="H196" t="s">
        <v>74</v>
      </c>
      <c r="I196" t="s">
        <v>3294</v>
      </c>
      <c r="J196" t="s">
        <v>3295</v>
      </c>
      <c r="K196" t="s">
        <v>74</v>
      </c>
      <c r="L196" t="s">
        <v>74</v>
      </c>
      <c r="M196" t="s">
        <v>78</v>
      </c>
      <c r="N196" t="s">
        <v>3296</v>
      </c>
      <c r="O196" t="s">
        <v>74</v>
      </c>
      <c r="P196" t="s">
        <v>74</v>
      </c>
      <c r="Q196" t="s">
        <v>74</v>
      </c>
      <c r="R196" t="s">
        <v>74</v>
      </c>
      <c r="S196" t="s">
        <v>74</v>
      </c>
      <c r="T196" t="s">
        <v>74</v>
      </c>
      <c r="U196" t="s">
        <v>74</v>
      </c>
      <c r="V196" t="s">
        <v>74</v>
      </c>
      <c r="W196" t="s">
        <v>74</v>
      </c>
      <c r="X196" t="s">
        <v>74</v>
      </c>
      <c r="Y196" t="s">
        <v>74</v>
      </c>
      <c r="Z196" t="s">
        <v>74</v>
      </c>
      <c r="AA196" t="s">
        <v>74</v>
      </c>
      <c r="AB196" t="s">
        <v>74</v>
      </c>
      <c r="AC196" t="s">
        <v>74</v>
      </c>
      <c r="AD196" t="s">
        <v>74</v>
      </c>
      <c r="AE196" t="s">
        <v>74</v>
      </c>
      <c r="AF196" t="s">
        <v>74</v>
      </c>
      <c r="AG196">
        <v>1</v>
      </c>
      <c r="AH196">
        <v>0</v>
      </c>
      <c r="AI196">
        <v>0</v>
      </c>
      <c r="AJ196">
        <v>0</v>
      </c>
      <c r="AK196">
        <v>3</v>
      </c>
      <c r="AL196" t="s">
        <v>3297</v>
      </c>
      <c r="AM196" t="s">
        <v>222</v>
      </c>
      <c r="AN196" t="s">
        <v>3298</v>
      </c>
      <c r="AO196" t="s">
        <v>3299</v>
      </c>
      <c r="AP196" t="s">
        <v>3300</v>
      </c>
      <c r="AQ196" t="s">
        <v>74</v>
      </c>
      <c r="AR196" t="s">
        <v>3301</v>
      </c>
      <c r="AS196" t="s">
        <v>3302</v>
      </c>
      <c r="AT196" t="s">
        <v>74</v>
      </c>
      <c r="AU196">
        <v>2007</v>
      </c>
      <c r="AV196">
        <v>22</v>
      </c>
      <c r="AW196">
        <v>9</v>
      </c>
      <c r="AX196" t="s">
        <v>74</v>
      </c>
      <c r="AY196" t="s">
        <v>74</v>
      </c>
      <c r="AZ196" t="s">
        <v>74</v>
      </c>
      <c r="BA196" t="s">
        <v>74</v>
      </c>
      <c r="BB196" t="s">
        <v>3303</v>
      </c>
      <c r="BC196" t="s">
        <v>3303</v>
      </c>
      <c r="BD196" t="s">
        <v>74</v>
      </c>
      <c r="BE196" t="s">
        <v>3304</v>
      </c>
      <c r="BF196" t="str">
        <f>HYPERLINK("http://dx.doi.org/10.1039/b708103k","http://dx.doi.org/10.1039/b708103k")</f>
        <v>http://dx.doi.org/10.1039/b708103k</v>
      </c>
      <c r="BG196" t="s">
        <v>74</v>
      </c>
      <c r="BH196" t="s">
        <v>74</v>
      </c>
      <c r="BI196">
        <v>1</v>
      </c>
      <c r="BJ196" t="s">
        <v>3305</v>
      </c>
      <c r="BK196" t="s">
        <v>97</v>
      </c>
      <c r="BL196" t="s">
        <v>3306</v>
      </c>
      <c r="BM196" t="s">
        <v>3307</v>
      </c>
      <c r="BN196" t="s">
        <v>74</v>
      </c>
      <c r="BO196" t="s">
        <v>74</v>
      </c>
      <c r="BP196" t="s">
        <v>74</v>
      </c>
      <c r="BQ196" t="s">
        <v>74</v>
      </c>
      <c r="BR196" t="s">
        <v>100</v>
      </c>
      <c r="BS196" t="s">
        <v>3308</v>
      </c>
      <c r="BT196" t="str">
        <f>HYPERLINK("https%3A%2F%2Fwww.webofscience.com%2Fwos%2Fwoscc%2Ffull-record%2FWOS:000248917300002","View Full Record in Web of Science")</f>
        <v>View Full Record in Web of Science</v>
      </c>
    </row>
    <row r="197" spans="1:72" x14ac:dyDescent="0.15">
      <c r="A197" t="s">
        <v>72</v>
      </c>
      <c r="B197" t="s">
        <v>3309</v>
      </c>
      <c r="C197" t="s">
        <v>74</v>
      </c>
      <c r="D197" t="s">
        <v>74</v>
      </c>
      <c r="E197" t="s">
        <v>74</v>
      </c>
      <c r="F197" t="s">
        <v>3310</v>
      </c>
      <c r="G197" t="s">
        <v>74</v>
      </c>
      <c r="H197" t="s">
        <v>74</v>
      </c>
      <c r="I197" t="s">
        <v>3311</v>
      </c>
      <c r="J197" t="s">
        <v>3312</v>
      </c>
      <c r="K197" t="s">
        <v>74</v>
      </c>
      <c r="L197" t="s">
        <v>74</v>
      </c>
      <c r="M197" t="s">
        <v>78</v>
      </c>
      <c r="N197" t="s">
        <v>366</v>
      </c>
      <c r="O197" t="s">
        <v>74</v>
      </c>
      <c r="P197" t="s">
        <v>74</v>
      </c>
      <c r="Q197" t="s">
        <v>74</v>
      </c>
      <c r="R197" t="s">
        <v>74</v>
      </c>
      <c r="S197" t="s">
        <v>74</v>
      </c>
      <c r="T197" t="s">
        <v>3313</v>
      </c>
      <c r="U197" t="s">
        <v>3314</v>
      </c>
      <c r="V197" t="s">
        <v>3315</v>
      </c>
      <c r="W197" t="s">
        <v>3316</v>
      </c>
      <c r="X197" t="s">
        <v>3317</v>
      </c>
      <c r="Y197" t="s">
        <v>3318</v>
      </c>
      <c r="Z197" t="s">
        <v>3319</v>
      </c>
      <c r="AA197" t="s">
        <v>3320</v>
      </c>
      <c r="AB197" t="s">
        <v>3321</v>
      </c>
      <c r="AC197" t="s">
        <v>74</v>
      </c>
      <c r="AD197" t="s">
        <v>74</v>
      </c>
      <c r="AE197" t="s">
        <v>74</v>
      </c>
      <c r="AF197" t="s">
        <v>74</v>
      </c>
      <c r="AG197">
        <v>127</v>
      </c>
      <c r="AH197">
        <v>64</v>
      </c>
      <c r="AI197">
        <v>72</v>
      </c>
      <c r="AJ197">
        <v>1</v>
      </c>
      <c r="AK197">
        <v>48</v>
      </c>
      <c r="AL197" t="s">
        <v>3322</v>
      </c>
      <c r="AM197" t="s">
        <v>1197</v>
      </c>
      <c r="AN197" t="s">
        <v>3323</v>
      </c>
      <c r="AO197" t="s">
        <v>3324</v>
      </c>
      <c r="AP197" t="s">
        <v>3325</v>
      </c>
      <c r="AQ197" t="s">
        <v>74</v>
      </c>
      <c r="AR197" t="s">
        <v>3326</v>
      </c>
      <c r="AS197" t="s">
        <v>3327</v>
      </c>
      <c r="AT197" t="s">
        <v>661</v>
      </c>
      <c r="AU197">
        <v>2007</v>
      </c>
      <c r="AV197">
        <v>34</v>
      </c>
      <c r="AW197">
        <v>1</v>
      </c>
      <c r="AX197" t="s">
        <v>74</v>
      </c>
      <c r="AY197" t="s">
        <v>74</v>
      </c>
      <c r="AZ197" t="s">
        <v>74</v>
      </c>
      <c r="BA197" t="s">
        <v>74</v>
      </c>
      <c r="BB197">
        <v>83</v>
      </c>
      <c r="BC197">
        <v>110</v>
      </c>
      <c r="BD197" t="s">
        <v>74</v>
      </c>
      <c r="BE197" t="s">
        <v>3328</v>
      </c>
      <c r="BF197" t="str">
        <f>HYPERLINK("http://dx.doi.org/10.1016/j.jas.2006.04.004","http://dx.doi.org/10.1016/j.jas.2006.04.004")</f>
        <v>http://dx.doi.org/10.1016/j.jas.2006.04.004</v>
      </c>
      <c r="BG197" t="s">
        <v>74</v>
      </c>
      <c r="BH197" t="s">
        <v>74</v>
      </c>
      <c r="BI197">
        <v>28</v>
      </c>
      <c r="BJ197" t="s">
        <v>3329</v>
      </c>
      <c r="BK197" t="s">
        <v>3330</v>
      </c>
      <c r="BL197" t="s">
        <v>3331</v>
      </c>
      <c r="BM197" t="s">
        <v>3332</v>
      </c>
      <c r="BN197" t="s">
        <v>74</v>
      </c>
      <c r="BO197" t="s">
        <v>1384</v>
      </c>
      <c r="BP197" t="s">
        <v>74</v>
      </c>
      <c r="BQ197" t="s">
        <v>74</v>
      </c>
      <c r="BR197" t="s">
        <v>100</v>
      </c>
      <c r="BS197" t="s">
        <v>3333</v>
      </c>
      <c r="BT197" t="str">
        <f>HYPERLINK("https%3A%2F%2Fwww.webofscience.com%2Fwos%2Fwoscc%2Ffull-record%2FWOS:000242894600008","View Full Record in Web of Science")</f>
        <v>View Full Record in Web of Science</v>
      </c>
    </row>
    <row r="198" spans="1:72" x14ac:dyDescent="0.15">
      <c r="A198" t="s">
        <v>72</v>
      </c>
      <c r="B198" t="s">
        <v>3334</v>
      </c>
      <c r="C198" t="s">
        <v>74</v>
      </c>
      <c r="D198" t="s">
        <v>74</v>
      </c>
      <c r="E198" t="s">
        <v>74</v>
      </c>
      <c r="F198" t="s">
        <v>3335</v>
      </c>
      <c r="G198" t="s">
        <v>74</v>
      </c>
      <c r="H198" t="s">
        <v>74</v>
      </c>
      <c r="I198" t="s">
        <v>3336</v>
      </c>
      <c r="J198" t="s">
        <v>3337</v>
      </c>
      <c r="K198" t="s">
        <v>74</v>
      </c>
      <c r="L198" t="s">
        <v>74</v>
      </c>
      <c r="M198" t="s">
        <v>78</v>
      </c>
      <c r="N198" t="s">
        <v>79</v>
      </c>
      <c r="O198" t="s">
        <v>74</v>
      </c>
      <c r="P198" t="s">
        <v>74</v>
      </c>
      <c r="Q198" t="s">
        <v>74</v>
      </c>
      <c r="R198" t="s">
        <v>74</v>
      </c>
      <c r="S198" t="s">
        <v>74</v>
      </c>
      <c r="T198" t="s">
        <v>3338</v>
      </c>
      <c r="U198" t="s">
        <v>3339</v>
      </c>
      <c r="V198" t="s">
        <v>3340</v>
      </c>
      <c r="W198" t="s">
        <v>3341</v>
      </c>
      <c r="X198" t="s">
        <v>514</v>
      </c>
      <c r="Y198" t="s">
        <v>3342</v>
      </c>
      <c r="Z198" t="s">
        <v>3343</v>
      </c>
      <c r="AA198" t="s">
        <v>3344</v>
      </c>
      <c r="AB198" t="s">
        <v>3345</v>
      </c>
      <c r="AC198" t="s">
        <v>3346</v>
      </c>
      <c r="AD198" t="s">
        <v>1254</v>
      </c>
      <c r="AE198" t="s">
        <v>74</v>
      </c>
      <c r="AF198" t="s">
        <v>74</v>
      </c>
      <c r="AG198">
        <v>74</v>
      </c>
      <c r="AH198">
        <v>149</v>
      </c>
      <c r="AI198">
        <v>163</v>
      </c>
      <c r="AJ198">
        <v>1</v>
      </c>
      <c r="AK198">
        <v>67</v>
      </c>
      <c r="AL198" t="s">
        <v>159</v>
      </c>
      <c r="AM198" t="s">
        <v>160</v>
      </c>
      <c r="AN198" t="s">
        <v>161</v>
      </c>
      <c r="AO198" t="s">
        <v>3347</v>
      </c>
      <c r="AP198" t="s">
        <v>3348</v>
      </c>
      <c r="AQ198" t="s">
        <v>74</v>
      </c>
      <c r="AR198" t="s">
        <v>3349</v>
      </c>
      <c r="AS198" t="s">
        <v>3350</v>
      </c>
      <c r="AT198" t="s">
        <v>661</v>
      </c>
      <c r="AU198">
        <v>2007</v>
      </c>
      <c r="AV198">
        <v>34</v>
      </c>
      <c r="AW198">
        <v>1</v>
      </c>
      <c r="AX198" t="s">
        <v>74</v>
      </c>
      <c r="AY198" t="s">
        <v>74</v>
      </c>
      <c r="AZ198" t="s">
        <v>74</v>
      </c>
      <c r="BA198" t="s">
        <v>74</v>
      </c>
      <c r="BB198">
        <v>132</v>
      </c>
      <c r="BC198">
        <v>146</v>
      </c>
      <c r="BD198" t="s">
        <v>74</v>
      </c>
      <c r="BE198" t="s">
        <v>3351</v>
      </c>
      <c r="BF198" t="str">
        <f>HYPERLINK("http://dx.doi.org/10.1111/j.1365-2699.2006.01565.x","http://dx.doi.org/10.1111/j.1365-2699.2006.01565.x")</f>
        <v>http://dx.doi.org/10.1111/j.1365-2699.2006.01565.x</v>
      </c>
      <c r="BG198" t="s">
        <v>74</v>
      </c>
      <c r="BH198" t="s">
        <v>74</v>
      </c>
      <c r="BI198">
        <v>15</v>
      </c>
      <c r="BJ198" t="s">
        <v>3352</v>
      </c>
      <c r="BK198" t="s">
        <v>97</v>
      </c>
      <c r="BL198" t="s">
        <v>3353</v>
      </c>
      <c r="BM198" t="s">
        <v>3354</v>
      </c>
      <c r="BN198" t="s">
        <v>74</v>
      </c>
      <c r="BO198" t="s">
        <v>3355</v>
      </c>
      <c r="BP198" t="s">
        <v>74</v>
      </c>
      <c r="BQ198" t="s">
        <v>74</v>
      </c>
      <c r="BR198" t="s">
        <v>100</v>
      </c>
      <c r="BS198" t="s">
        <v>3356</v>
      </c>
      <c r="BT198" t="str">
        <f>HYPERLINK("https%3A%2F%2Fwww.webofscience.com%2Fwos%2Fwoscc%2Ffull-record%2FWOS:000242790600011","View Full Record in Web of Science")</f>
        <v>View Full Record in Web of Science</v>
      </c>
    </row>
    <row r="199" spans="1:72" x14ac:dyDescent="0.15">
      <c r="A199" t="s">
        <v>72</v>
      </c>
      <c r="B199" t="s">
        <v>3357</v>
      </c>
      <c r="C199" t="s">
        <v>74</v>
      </c>
      <c r="D199" t="s">
        <v>74</v>
      </c>
      <c r="E199" t="s">
        <v>74</v>
      </c>
      <c r="F199" t="s">
        <v>3358</v>
      </c>
      <c r="G199" t="s">
        <v>74</v>
      </c>
      <c r="H199" t="s">
        <v>74</v>
      </c>
      <c r="I199" t="s">
        <v>3359</v>
      </c>
      <c r="J199" t="s">
        <v>3360</v>
      </c>
      <c r="K199" t="s">
        <v>74</v>
      </c>
      <c r="L199" t="s">
        <v>74</v>
      </c>
      <c r="M199" t="s">
        <v>78</v>
      </c>
      <c r="N199" t="s">
        <v>79</v>
      </c>
      <c r="O199" t="s">
        <v>74</v>
      </c>
      <c r="P199" t="s">
        <v>74</v>
      </c>
      <c r="Q199" t="s">
        <v>74</v>
      </c>
      <c r="R199" t="s">
        <v>74</v>
      </c>
      <c r="S199" t="s">
        <v>74</v>
      </c>
      <c r="T199" t="s">
        <v>3361</v>
      </c>
      <c r="U199" t="s">
        <v>74</v>
      </c>
      <c r="V199" t="s">
        <v>3362</v>
      </c>
      <c r="W199" t="s">
        <v>3363</v>
      </c>
      <c r="X199" t="s">
        <v>3364</v>
      </c>
      <c r="Y199" t="s">
        <v>3365</v>
      </c>
      <c r="Z199" t="s">
        <v>3366</v>
      </c>
      <c r="AA199" t="s">
        <v>3367</v>
      </c>
      <c r="AB199" t="s">
        <v>3368</v>
      </c>
      <c r="AC199" t="s">
        <v>3369</v>
      </c>
      <c r="AD199" t="s">
        <v>3369</v>
      </c>
      <c r="AE199" t="s">
        <v>3370</v>
      </c>
      <c r="AF199" t="s">
        <v>74</v>
      </c>
      <c r="AG199">
        <v>20</v>
      </c>
      <c r="AH199">
        <v>50</v>
      </c>
      <c r="AI199">
        <v>53</v>
      </c>
      <c r="AJ199">
        <v>0</v>
      </c>
      <c r="AK199">
        <v>14</v>
      </c>
      <c r="AL199" t="s">
        <v>3371</v>
      </c>
      <c r="AM199" t="s">
        <v>3372</v>
      </c>
      <c r="AN199" t="s">
        <v>3373</v>
      </c>
      <c r="AO199" t="s">
        <v>3374</v>
      </c>
      <c r="AP199" t="s">
        <v>74</v>
      </c>
      <c r="AQ199" t="s">
        <v>74</v>
      </c>
      <c r="AR199" t="s">
        <v>3375</v>
      </c>
      <c r="AS199" t="s">
        <v>3376</v>
      </c>
      <c r="AT199" t="s">
        <v>74</v>
      </c>
      <c r="AU199">
        <v>2007</v>
      </c>
      <c r="AV199" t="s">
        <v>74</v>
      </c>
      <c r="AW199" t="s">
        <v>74</v>
      </c>
      <c r="AX199" t="s">
        <v>74</v>
      </c>
      <c r="AY199" t="s">
        <v>74</v>
      </c>
      <c r="AZ199">
        <v>50</v>
      </c>
      <c r="BA199" t="s">
        <v>74</v>
      </c>
      <c r="BB199">
        <v>432</v>
      </c>
      <c r="BC199">
        <v>437</v>
      </c>
      <c r="BD199" t="s">
        <v>74</v>
      </c>
      <c r="BE199" t="s">
        <v>74</v>
      </c>
      <c r="BF199" t="s">
        <v>74</v>
      </c>
      <c r="BG199" t="s">
        <v>74</v>
      </c>
      <c r="BH199" t="s">
        <v>74</v>
      </c>
      <c r="BI199">
        <v>6</v>
      </c>
      <c r="BJ199" t="s">
        <v>3377</v>
      </c>
      <c r="BK199" t="s">
        <v>97</v>
      </c>
      <c r="BL199" t="s">
        <v>3378</v>
      </c>
      <c r="BM199" t="s">
        <v>3379</v>
      </c>
      <c r="BN199" t="s">
        <v>74</v>
      </c>
      <c r="BO199" t="s">
        <v>74</v>
      </c>
      <c r="BP199" t="s">
        <v>74</v>
      </c>
      <c r="BQ199" t="s">
        <v>74</v>
      </c>
      <c r="BR199" t="s">
        <v>100</v>
      </c>
      <c r="BS199" t="s">
        <v>3380</v>
      </c>
      <c r="BT199" t="str">
        <f>HYPERLINK("https%3A%2F%2Fwww.webofscience.com%2Fwos%2Fwoscc%2Ffull-record%2FWOS:000207860300083","View Full Record in Web of Science")</f>
        <v>View Full Record in Web of Science</v>
      </c>
    </row>
    <row r="200" spans="1:72" x14ac:dyDescent="0.15">
      <c r="A200" t="s">
        <v>72</v>
      </c>
      <c r="B200" t="s">
        <v>3381</v>
      </c>
      <c r="C200" t="s">
        <v>74</v>
      </c>
      <c r="D200" t="s">
        <v>74</v>
      </c>
      <c r="E200" t="s">
        <v>74</v>
      </c>
      <c r="F200" t="s">
        <v>3382</v>
      </c>
      <c r="G200" t="s">
        <v>74</v>
      </c>
      <c r="H200" t="s">
        <v>74</v>
      </c>
      <c r="I200" t="s">
        <v>3383</v>
      </c>
      <c r="J200" t="s">
        <v>3384</v>
      </c>
      <c r="K200" t="s">
        <v>74</v>
      </c>
      <c r="L200" t="s">
        <v>74</v>
      </c>
      <c r="M200" t="s">
        <v>78</v>
      </c>
      <c r="N200" t="s">
        <v>1431</v>
      </c>
      <c r="O200" t="s">
        <v>74</v>
      </c>
      <c r="P200" t="s">
        <v>74</v>
      </c>
      <c r="Q200" t="s">
        <v>74</v>
      </c>
      <c r="R200" t="s">
        <v>74</v>
      </c>
      <c r="S200" t="s">
        <v>74</v>
      </c>
      <c r="T200" t="s">
        <v>74</v>
      </c>
      <c r="U200" t="s">
        <v>74</v>
      </c>
      <c r="V200" t="s">
        <v>74</v>
      </c>
      <c r="W200" t="s">
        <v>3385</v>
      </c>
      <c r="X200" t="s">
        <v>74</v>
      </c>
      <c r="Y200" t="s">
        <v>3386</v>
      </c>
      <c r="Z200" t="s">
        <v>3387</v>
      </c>
      <c r="AA200" t="s">
        <v>74</v>
      </c>
      <c r="AB200" t="s">
        <v>3388</v>
      </c>
      <c r="AC200" t="s">
        <v>74</v>
      </c>
      <c r="AD200" t="s">
        <v>74</v>
      </c>
      <c r="AE200" t="s">
        <v>74</v>
      </c>
      <c r="AF200" t="s">
        <v>74</v>
      </c>
      <c r="AG200">
        <v>0</v>
      </c>
      <c r="AH200">
        <v>0</v>
      </c>
      <c r="AI200">
        <v>0</v>
      </c>
      <c r="AJ200">
        <v>0</v>
      </c>
      <c r="AK200">
        <v>4</v>
      </c>
      <c r="AL200" t="s">
        <v>3389</v>
      </c>
      <c r="AM200" t="s">
        <v>818</v>
      </c>
      <c r="AN200" t="s">
        <v>3390</v>
      </c>
      <c r="AO200" t="s">
        <v>3391</v>
      </c>
      <c r="AP200" t="s">
        <v>74</v>
      </c>
      <c r="AQ200" t="s">
        <v>74</v>
      </c>
      <c r="AR200" t="s">
        <v>3392</v>
      </c>
      <c r="AS200" t="s">
        <v>3393</v>
      </c>
      <c r="AT200" t="s">
        <v>74</v>
      </c>
      <c r="AU200">
        <v>2007</v>
      </c>
      <c r="AV200">
        <v>96</v>
      </c>
      <c r="AW200" t="s">
        <v>2559</v>
      </c>
      <c r="AX200" t="s">
        <v>74</v>
      </c>
      <c r="AY200" t="s">
        <v>74</v>
      </c>
      <c r="AZ200" t="s">
        <v>3394</v>
      </c>
      <c r="BA200" t="s">
        <v>74</v>
      </c>
      <c r="BB200">
        <v>1</v>
      </c>
      <c r="BC200">
        <v>5</v>
      </c>
      <c r="BD200" t="s">
        <v>74</v>
      </c>
      <c r="BE200" t="s">
        <v>3395</v>
      </c>
      <c r="BF200" t="str">
        <f>HYPERLINK("http://dx.doi.org/10.1016/j.jenvrad.2007.01.014","http://dx.doi.org/10.1016/j.jenvrad.2007.01.014")</f>
        <v>http://dx.doi.org/10.1016/j.jenvrad.2007.01.014</v>
      </c>
      <c r="BG200" t="s">
        <v>74</v>
      </c>
      <c r="BH200" t="s">
        <v>74</v>
      </c>
      <c r="BI200">
        <v>5</v>
      </c>
      <c r="BJ200" t="s">
        <v>237</v>
      </c>
      <c r="BK200" t="s">
        <v>97</v>
      </c>
      <c r="BL200" t="s">
        <v>226</v>
      </c>
      <c r="BM200" t="s">
        <v>3396</v>
      </c>
      <c r="BN200">
        <v>17418462</v>
      </c>
      <c r="BO200" t="s">
        <v>74</v>
      </c>
      <c r="BP200" t="s">
        <v>74</v>
      </c>
      <c r="BQ200" t="s">
        <v>74</v>
      </c>
      <c r="BR200" t="s">
        <v>100</v>
      </c>
      <c r="BS200" t="s">
        <v>3397</v>
      </c>
      <c r="BT200" t="str">
        <f>HYPERLINK("https%3A%2F%2Fwww.webofscience.com%2Fwos%2Fwoscc%2Ffull-record%2FWOS:000248960600001","View Full Record in Web of Science")</f>
        <v>View Full Record in Web of Science</v>
      </c>
    </row>
    <row r="201" spans="1:72" x14ac:dyDescent="0.15">
      <c r="A201" t="s">
        <v>72</v>
      </c>
      <c r="B201" t="s">
        <v>3398</v>
      </c>
      <c r="C201" t="s">
        <v>74</v>
      </c>
      <c r="D201" t="s">
        <v>74</v>
      </c>
      <c r="E201" t="s">
        <v>74</v>
      </c>
      <c r="F201" t="s">
        <v>3399</v>
      </c>
      <c r="G201" t="s">
        <v>74</v>
      </c>
      <c r="H201" t="s">
        <v>74</v>
      </c>
      <c r="I201" t="s">
        <v>3400</v>
      </c>
      <c r="J201" t="s">
        <v>3384</v>
      </c>
      <c r="K201" t="s">
        <v>74</v>
      </c>
      <c r="L201" t="s">
        <v>74</v>
      </c>
      <c r="M201" t="s">
        <v>78</v>
      </c>
      <c r="N201" t="s">
        <v>176</v>
      </c>
      <c r="O201" t="s">
        <v>3401</v>
      </c>
      <c r="P201" t="s">
        <v>3402</v>
      </c>
      <c r="Q201" t="s">
        <v>3403</v>
      </c>
      <c r="R201" t="s">
        <v>74</v>
      </c>
      <c r="S201" t="s">
        <v>74</v>
      </c>
      <c r="T201" t="s">
        <v>3404</v>
      </c>
      <c r="U201" t="s">
        <v>74</v>
      </c>
      <c r="V201" t="s">
        <v>3405</v>
      </c>
      <c r="W201" t="s">
        <v>3406</v>
      </c>
      <c r="X201" t="s">
        <v>3407</v>
      </c>
      <c r="Y201" t="s">
        <v>3408</v>
      </c>
      <c r="Z201" t="s">
        <v>3409</v>
      </c>
      <c r="AA201" t="s">
        <v>3410</v>
      </c>
      <c r="AB201" t="s">
        <v>74</v>
      </c>
      <c r="AC201" t="s">
        <v>74</v>
      </c>
      <c r="AD201" t="s">
        <v>74</v>
      </c>
      <c r="AE201" t="s">
        <v>74</v>
      </c>
      <c r="AF201" t="s">
        <v>74</v>
      </c>
      <c r="AG201">
        <v>17</v>
      </c>
      <c r="AH201">
        <v>22</v>
      </c>
      <c r="AI201">
        <v>32</v>
      </c>
      <c r="AJ201">
        <v>0</v>
      </c>
      <c r="AK201">
        <v>20</v>
      </c>
      <c r="AL201" t="s">
        <v>3389</v>
      </c>
      <c r="AM201" t="s">
        <v>818</v>
      </c>
      <c r="AN201" t="s">
        <v>3390</v>
      </c>
      <c r="AO201" t="s">
        <v>3391</v>
      </c>
      <c r="AP201" t="s">
        <v>74</v>
      </c>
      <c r="AQ201" t="s">
        <v>74</v>
      </c>
      <c r="AR201" t="s">
        <v>3392</v>
      </c>
      <c r="AS201" t="s">
        <v>3393</v>
      </c>
      <c r="AT201" t="s">
        <v>74</v>
      </c>
      <c r="AU201">
        <v>2007</v>
      </c>
      <c r="AV201">
        <v>96</v>
      </c>
      <c r="AW201" t="s">
        <v>2559</v>
      </c>
      <c r="AX201" t="s">
        <v>74</v>
      </c>
      <c r="AY201" t="s">
        <v>74</v>
      </c>
      <c r="AZ201" t="s">
        <v>3394</v>
      </c>
      <c r="BA201" t="s">
        <v>74</v>
      </c>
      <c r="BB201">
        <v>6</v>
      </c>
      <c r="BC201">
        <v>12</v>
      </c>
      <c r="BD201" t="s">
        <v>74</v>
      </c>
      <c r="BE201" t="s">
        <v>3411</v>
      </c>
      <c r="BF201" t="str">
        <f>HYPERLINK("http://dx.doi.org/10.1016/j.jenvrad.2007.01.015","http://dx.doi.org/10.1016/j.jenvrad.2007.01.015")</f>
        <v>http://dx.doi.org/10.1016/j.jenvrad.2007.01.015</v>
      </c>
      <c r="BG201" t="s">
        <v>74</v>
      </c>
      <c r="BH201" t="s">
        <v>74</v>
      </c>
      <c r="BI201">
        <v>7</v>
      </c>
      <c r="BJ201" t="s">
        <v>237</v>
      </c>
      <c r="BK201" t="s">
        <v>1847</v>
      </c>
      <c r="BL201" t="s">
        <v>226</v>
      </c>
      <c r="BM201" t="s">
        <v>3396</v>
      </c>
      <c r="BN201">
        <v>17493715</v>
      </c>
      <c r="BO201" t="s">
        <v>74</v>
      </c>
      <c r="BP201" t="s">
        <v>74</v>
      </c>
      <c r="BQ201" t="s">
        <v>74</v>
      </c>
      <c r="BR201" t="s">
        <v>100</v>
      </c>
      <c r="BS201" t="s">
        <v>3412</v>
      </c>
      <c r="BT201" t="str">
        <f>HYPERLINK("https%3A%2F%2Fwww.webofscience.com%2Fwos%2Fwoscc%2Ffull-record%2FWOS:000248960600002","View Full Record in Web of Science")</f>
        <v>View Full Record in Web of Science</v>
      </c>
    </row>
    <row r="202" spans="1:72" x14ac:dyDescent="0.15">
      <c r="A202" t="s">
        <v>72</v>
      </c>
      <c r="B202" t="s">
        <v>3413</v>
      </c>
      <c r="C202" t="s">
        <v>74</v>
      </c>
      <c r="D202" t="s">
        <v>74</v>
      </c>
      <c r="E202" t="s">
        <v>74</v>
      </c>
      <c r="F202" t="s">
        <v>3414</v>
      </c>
      <c r="G202" t="s">
        <v>74</v>
      </c>
      <c r="H202" t="s">
        <v>74</v>
      </c>
      <c r="I202" t="s">
        <v>3415</v>
      </c>
      <c r="J202" t="s">
        <v>3384</v>
      </c>
      <c r="K202" t="s">
        <v>74</v>
      </c>
      <c r="L202" t="s">
        <v>74</v>
      </c>
      <c r="M202" t="s">
        <v>78</v>
      </c>
      <c r="N202" t="s">
        <v>176</v>
      </c>
      <c r="O202" t="s">
        <v>3401</v>
      </c>
      <c r="P202" t="s">
        <v>3402</v>
      </c>
      <c r="Q202" t="s">
        <v>3403</v>
      </c>
      <c r="R202" t="s">
        <v>74</v>
      </c>
      <c r="S202" t="s">
        <v>74</v>
      </c>
      <c r="T202" t="s">
        <v>3416</v>
      </c>
      <c r="U202" t="s">
        <v>3417</v>
      </c>
      <c r="V202" t="s">
        <v>3418</v>
      </c>
      <c r="W202" t="s">
        <v>3419</v>
      </c>
      <c r="X202" t="s">
        <v>3420</v>
      </c>
      <c r="Y202" t="s">
        <v>3421</v>
      </c>
      <c r="Z202" t="s">
        <v>3422</v>
      </c>
      <c r="AA202" t="s">
        <v>74</v>
      </c>
      <c r="AB202" t="s">
        <v>74</v>
      </c>
      <c r="AC202" t="s">
        <v>74</v>
      </c>
      <c r="AD202" t="s">
        <v>74</v>
      </c>
      <c r="AE202" t="s">
        <v>74</v>
      </c>
      <c r="AF202" t="s">
        <v>74</v>
      </c>
      <c r="AG202">
        <v>15</v>
      </c>
      <c r="AH202">
        <v>5</v>
      </c>
      <c r="AI202">
        <v>6</v>
      </c>
      <c r="AJ202">
        <v>0</v>
      </c>
      <c r="AK202">
        <v>4</v>
      </c>
      <c r="AL202" t="s">
        <v>3389</v>
      </c>
      <c r="AM202" t="s">
        <v>818</v>
      </c>
      <c r="AN202" t="s">
        <v>3390</v>
      </c>
      <c r="AO202" t="s">
        <v>3391</v>
      </c>
      <c r="AP202" t="s">
        <v>74</v>
      </c>
      <c r="AQ202" t="s">
        <v>74</v>
      </c>
      <c r="AR202" t="s">
        <v>3392</v>
      </c>
      <c r="AS202" t="s">
        <v>3393</v>
      </c>
      <c r="AT202" t="s">
        <v>74</v>
      </c>
      <c r="AU202">
        <v>2007</v>
      </c>
      <c r="AV202">
        <v>96</v>
      </c>
      <c r="AW202" t="s">
        <v>2559</v>
      </c>
      <c r="AX202" t="s">
        <v>74</v>
      </c>
      <c r="AY202" t="s">
        <v>74</v>
      </c>
      <c r="AZ202" t="s">
        <v>3394</v>
      </c>
      <c r="BA202" t="s">
        <v>74</v>
      </c>
      <c r="BB202">
        <v>13</v>
      </c>
      <c r="BC202">
        <v>19</v>
      </c>
      <c r="BD202" t="s">
        <v>74</v>
      </c>
      <c r="BE202" t="s">
        <v>3423</v>
      </c>
      <c r="BF202" t="str">
        <f>HYPERLINK("http://dx.doi.org/10.1016/j.jenvrad.2006.12.001","http://dx.doi.org/10.1016/j.jenvrad.2006.12.001")</f>
        <v>http://dx.doi.org/10.1016/j.jenvrad.2006.12.001</v>
      </c>
      <c r="BG202" t="s">
        <v>74</v>
      </c>
      <c r="BH202" t="s">
        <v>74</v>
      </c>
      <c r="BI202">
        <v>7</v>
      </c>
      <c r="BJ202" t="s">
        <v>237</v>
      </c>
      <c r="BK202" t="s">
        <v>1847</v>
      </c>
      <c r="BL202" t="s">
        <v>226</v>
      </c>
      <c r="BM202" t="s">
        <v>3396</v>
      </c>
      <c r="BN202">
        <v>17257716</v>
      </c>
      <c r="BO202" t="s">
        <v>74</v>
      </c>
      <c r="BP202" t="s">
        <v>74</v>
      </c>
      <c r="BQ202" t="s">
        <v>74</v>
      </c>
      <c r="BR202" t="s">
        <v>100</v>
      </c>
      <c r="BS202" t="s">
        <v>3424</v>
      </c>
      <c r="BT202" t="str">
        <f>HYPERLINK("https%3A%2F%2Fwww.webofscience.com%2Fwos%2Fwoscc%2Ffull-record%2FWOS:000248960600003","View Full Record in Web of Science")</f>
        <v>View Full Record in Web of Science</v>
      </c>
    </row>
    <row r="203" spans="1:72" x14ac:dyDescent="0.15">
      <c r="A203" t="s">
        <v>72</v>
      </c>
      <c r="B203" t="s">
        <v>3425</v>
      </c>
      <c r="C203" t="s">
        <v>74</v>
      </c>
      <c r="D203" t="s">
        <v>74</v>
      </c>
      <c r="E203" t="s">
        <v>74</v>
      </c>
      <c r="F203" t="s">
        <v>3426</v>
      </c>
      <c r="G203" t="s">
        <v>74</v>
      </c>
      <c r="H203" t="s">
        <v>74</v>
      </c>
      <c r="I203" t="s">
        <v>3427</v>
      </c>
      <c r="J203" t="s">
        <v>3384</v>
      </c>
      <c r="K203" t="s">
        <v>74</v>
      </c>
      <c r="L203" t="s">
        <v>74</v>
      </c>
      <c r="M203" t="s">
        <v>78</v>
      </c>
      <c r="N203" t="s">
        <v>176</v>
      </c>
      <c r="O203" t="s">
        <v>3401</v>
      </c>
      <c r="P203" t="s">
        <v>3402</v>
      </c>
      <c r="Q203" t="s">
        <v>3403</v>
      </c>
      <c r="R203" t="s">
        <v>74</v>
      </c>
      <c r="S203" t="s">
        <v>74</v>
      </c>
      <c r="T203" t="s">
        <v>3428</v>
      </c>
      <c r="U203" t="s">
        <v>3429</v>
      </c>
      <c r="V203" t="s">
        <v>3430</v>
      </c>
      <c r="W203" t="s">
        <v>3431</v>
      </c>
      <c r="X203" t="s">
        <v>3432</v>
      </c>
      <c r="Y203" t="s">
        <v>3433</v>
      </c>
      <c r="Z203" t="s">
        <v>3434</v>
      </c>
      <c r="AA203" t="s">
        <v>3435</v>
      </c>
      <c r="AB203" t="s">
        <v>74</v>
      </c>
      <c r="AC203" t="s">
        <v>74</v>
      </c>
      <c r="AD203" t="s">
        <v>74</v>
      </c>
      <c r="AE203" t="s">
        <v>74</v>
      </c>
      <c r="AF203" t="s">
        <v>74</v>
      </c>
      <c r="AG203">
        <v>46</v>
      </c>
      <c r="AH203">
        <v>47</v>
      </c>
      <c r="AI203">
        <v>50</v>
      </c>
      <c r="AJ203">
        <v>0</v>
      </c>
      <c r="AK203">
        <v>18</v>
      </c>
      <c r="AL203" t="s">
        <v>3389</v>
      </c>
      <c r="AM203" t="s">
        <v>818</v>
      </c>
      <c r="AN203" t="s">
        <v>3390</v>
      </c>
      <c r="AO203" t="s">
        <v>3391</v>
      </c>
      <c r="AP203" t="s">
        <v>3436</v>
      </c>
      <c r="AQ203" t="s">
        <v>74</v>
      </c>
      <c r="AR203" t="s">
        <v>3392</v>
      </c>
      <c r="AS203" t="s">
        <v>3393</v>
      </c>
      <c r="AT203" t="s">
        <v>74</v>
      </c>
      <c r="AU203">
        <v>2007</v>
      </c>
      <c r="AV203">
        <v>96</v>
      </c>
      <c r="AW203" t="s">
        <v>2559</v>
      </c>
      <c r="AX203" t="s">
        <v>74</v>
      </c>
      <c r="AY203" t="s">
        <v>74</v>
      </c>
      <c r="AZ203" t="s">
        <v>3394</v>
      </c>
      <c r="BA203" t="s">
        <v>74</v>
      </c>
      <c r="BB203">
        <v>20</v>
      </c>
      <c r="BC203">
        <v>31</v>
      </c>
      <c r="BD203" t="s">
        <v>74</v>
      </c>
      <c r="BE203" t="s">
        <v>3437</v>
      </c>
      <c r="BF203" t="str">
        <f>HYPERLINK("http://dx.doi.org/10.1016/j.jenvrad.2007.01.025","http://dx.doi.org/10.1016/j.jenvrad.2007.01.025")</f>
        <v>http://dx.doi.org/10.1016/j.jenvrad.2007.01.025</v>
      </c>
      <c r="BG203" t="s">
        <v>74</v>
      </c>
      <c r="BH203" t="s">
        <v>74</v>
      </c>
      <c r="BI203">
        <v>12</v>
      </c>
      <c r="BJ203" t="s">
        <v>237</v>
      </c>
      <c r="BK203" t="s">
        <v>197</v>
      </c>
      <c r="BL203" t="s">
        <v>226</v>
      </c>
      <c r="BM203" t="s">
        <v>3396</v>
      </c>
      <c r="BN203">
        <v>17428592</v>
      </c>
      <c r="BO203" t="s">
        <v>74</v>
      </c>
      <c r="BP203" t="s">
        <v>74</v>
      </c>
      <c r="BQ203" t="s">
        <v>74</v>
      </c>
      <c r="BR203" t="s">
        <v>100</v>
      </c>
      <c r="BS203" t="s">
        <v>3438</v>
      </c>
      <c r="BT203" t="str">
        <f>HYPERLINK("https%3A%2F%2Fwww.webofscience.com%2Fwos%2Fwoscc%2Ffull-record%2FWOS:000248960600004","View Full Record in Web of Science")</f>
        <v>View Full Record in Web of Science</v>
      </c>
    </row>
    <row r="204" spans="1:72" x14ac:dyDescent="0.15">
      <c r="A204" t="s">
        <v>72</v>
      </c>
      <c r="B204" t="s">
        <v>3439</v>
      </c>
      <c r="C204" t="s">
        <v>74</v>
      </c>
      <c r="D204" t="s">
        <v>74</v>
      </c>
      <c r="E204" t="s">
        <v>74</v>
      </c>
      <c r="F204" t="s">
        <v>3440</v>
      </c>
      <c r="G204" t="s">
        <v>74</v>
      </c>
      <c r="H204" t="s">
        <v>74</v>
      </c>
      <c r="I204" t="s">
        <v>3441</v>
      </c>
      <c r="J204" t="s">
        <v>3384</v>
      </c>
      <c r="K204" t="s">
        <v>74</v>
      </c>
      <c r="L204" t="s">
        <v>74</v>
      </c>
      <c r="M204" t="s">
        <v>78</v>
      </c>
      <c r="N204" t="s">
        <v>176</v>
      </c>
      <c r="O204" t="s">
        <v>3401</v>
      </c>
      <c r="P204" t="s">
        <v>3402</v>
      </c>
      <c r="Q204" t="s">
        <v>3403</v>
      </c>
      <c r="R204" t="s">
        <v>74</v>
      </c>
      <c r="S204" t="s">
        <v>74</v>
      </c>
      <c r="T204" t="s">
        <v>3442</v>
      </c>
      <c r="U204" t="s">
        <v>3443</v>
      </c>
      <c r="V204" t="s">
        <v>3444</v>
      </c>
      <c r="W204" t="s">
        <v>3445</v>
      </c>
      <c r="X204" t="s">
        <v>3446</v>
      </c>
      <c r="Y204" t="s">
        <v>3447</v>
      </c>
      <c r="Z204" t="s">
        <v>3448</v>
      </c>
      <c r="AA204" t="s">
        <v>74</v>
      </c>
      <c r="AB204" t="s">
        <v>74</v>
      </c>
      <c r="AC204" t="s">
        <v>74</v>
      </c>
      <c r="AD204" t="s">
        <v>74</v>
      </c>
      <c r="AE204" t="s">
        <v>74</v>
      </c>
      <c r="AF204" t="s">
        <v>74</v>
      </c>
      <c r="AG204">
        <v>17</v>
      </c>
      <c r="AH204">
        <v>4</v>
      </c>
      <c r="AI204">
        <v>4</v>
      </c>
      <c r="AJ204">
        <v>0</v>
      </c>
      <c r="AK204">
        <v>2</v>
      </c>
      <c r="AL204" t="s">
        <v>3389</v>
      </c>
      <c r="AM204" t="s">
        <v>818</v>
      </c>
      <c r="AN204" t="s">
        <v>3390</v>
      </c>
      <c r="AO204" t="s">
        <v>3391</v>
      </c>
      <c r="AP204" t="s">
        <v>74</v>
      </c>
      <c r="AQ204" t="s">
        <v>74</v>
      </c>
      <c r="AR204" t="s">
        <v>3392</v>
      </c>
      <c r="AS204" t="s">
        <v>3393</v>
      </c>
      <c r="AT204" t="s">
        <v>74</v>
      </c>
      <c r="AU204">
        <v>2007</v>
      </c>
      <c r="AV204">
        <v>96</v>
      </c>
      <c r="AW204" t="s">
        <v>2559</v>
      </c>
      <c r="AX204" t="s">
        <v>74</v>
      </c>
      <c r="AY204" t="s">
        <v>74</v>
      </c>
      <c r="AZ204" t="s">
        <v>3394</v>
      </c>
      <c r="BA204" t="s">
        <v>74</v>
      </c>
      <c r="BB204">
        <v>32</v>
      </c>
      <c r="BC204">
        <v>38</v>
      </c>
      <c r="BD204" t="s">
        <v>74</v>
      </c>
      <c r="BE204" t="s">
        <v>3449</v>
      </c>
      <c r="BF204" t="str">
        <f>HYPERLINK("http://dx.doi.org/10.1016/j.jenvrad.2007.01.031","http://dx.doi.org/10.1016/j.jenvrad.2007.01.031")</f>
        <v>http://dx.doi.org/10.1016/j.jenvrad.2007.01.031</v>
      </c>
      <c r="BG204" t="s">
        <v>74</v>
      </c>
      <c r="BH204" t="s">
        <v>74</v>
      </c>
      <c r="BI204">
        <v>7</v>
      </c>
      <c r="BJ204" t="s">
        <v>237</v>
      </c>
      <c r="BK204" t="s">
        <v>1847</v>
      </c>
      <c r="BL204" t="s">
        <v>226</v>
      </c>
      <c r="BM204" t="s">
        <v>3396</v>
      </c>
      <c r="BN204">
        <v>17459541</v>
      </c>
      <c r="BO204" t="s">
        <v>74</v>
      </c>
      <c r="BP204" t="s">
        <v>74</v>
      </c>
      <c r="BQ204" t="s">
        <v>74</v>
      </c>
      <c r="BR204" t="s">
        <v>100</v>
      </c>
      <c r="BS204" t="s">
        <v>3450</v>
      </c>
      <c r="BT204" t="str">
        <f>HYPERLINK("https%3A%2F%2Fwww.webofscience.com%2Fwos%2Fwoscc%2Ffull-record%2FWOS:000248960600005","View Full Record in Web of Science")</f>
        <v>View Full Record in Web of Science</v>
      </c>
    </row>
    <row r="205" spans="1:72" x14ac:dyDescent="0.15">
      <c r="A205" t="s">
        <v>72</v>
      </c>
      <c r="B205" t="s">
        <v>3451</v>
      </c>
      <c r="C205" t="s">
        <v>74</v>
      </c>
      <c r="D205" t="s">
        <v>74</v>
      </c>
      <c r="E205" t="s">
        <v>74</v>
      </c>
      <c r="F205" t="s">
        <v>3452</v>
      </c>
      <c r="G205" t="s">
        <v>74</v>
      </c>
      <c r="H205" t="s">
        <v>74</v>
      </c>
      <c r="I205" t="s">
        <v>3453</v>
      </c>
      <c r="J205" t="s">
        <v>3384</v>
      </c>
      <c r="K205" t="s">
        <v>74</v>
      </c>
      <c r="L205" t="s">
        <v>74</v>
      </c>
      <c r="M205" t="s">
        <v>78</v>
      </c>
      <c r="N205" t="s">
        <v>176</v>
      </c>
      <c r="O205" t="s">
        <v>3401</v>
      </c>
      <c r="P205" t="s">
        <v>3402</v>
      </c>
      <c r="Q205" t="s">
        <v>3403</v>
      </c>
      <c r="R205" t="s">
        <v>74</v>
      </c>
      <c r="S205" t="s">
        <v>74</v>
      </c>
      <c r="T205" t="s">
        <v>3454</v>
      </c>
      <c r="U205" t="s">
        <v>74</v>
      </c>
      <c r="V205" t="s">
        <v>3455</v>
      </c>
      <c r="W205" t="s">
        <v>3456</v>
      </c>
      <c r="X205" t="s">
        <v>3457</v>
      </c>
      <c r="Y205" t="s">
        <v>3458</v>
      </c>
      <c r="Z205" t="s">
        <v>3459</v>
      </c>
      <c r="AA205" t="s">
        <v>3460</v>
      </c>
      <c r="AB205" t="s">
        <v>3461</v>
      </c>
      <c r="AC205" t="s">
        <v>74</v>
      </c>
      <c r="AD205" t="s">
        <v>74</v>
      </c>
      <c r="AE205" t="s">
        <v>74</v>
      </c>
      <c r="AF205" t="s">
        <v>74</v>
      </c>
      <c r="AG205">
        <v>7</v>
      </c>
      <c r="AH205">
        <v>89</v>
      </c>
      <c r="AI205">
        <v>106</v>
      </c>
      <c r="AJ205">
        <v>0</v>
      </c>
      <c r="AK205">
        <v>37</v>
      </c>
      <c r="AL205" t="s">
        <v>3389</v>
      </c>
      <c r="AM205" t="s">
        <v>818</v>
      </c>
      <c r="AN205" t="s">
        <v>3390</v>
      </c>
      <c r="AO205" t="s">
        <v>3391</v>
      </c>
      <c r="AP205" t="s">
        <v>74</v>
      </c>
      <c r="AQ205" t="s">
        <v>74</v>
      </c>
      <c r="AR205" t="s">
        <v>3392</v>
      </c>
      <c r="AS205" t="s">
        <v>3393</v>
      </c>
      <c r="AT205" t="s">
        <v>74</v>
      </c>
      <c r="AU205">
        <v>2007</v>
      </c>
      <c r="AV205">
        <v>96</v>
      </c>
      <c r="AW205" t="s">
        <v>2559</v>
      </c>
      <c r="AX205" t="s">
        <v>74</v>
      </c>
      <c r="AY205" t="s">
        <v>74</v>
      </c>
      <c r="AZ205" t="s">
        <v>3394</v>
      </c>
      <c r="BA205" t="s">
        <v>74</v>
      </c>
      <c r="BB205">
        <v>39</v>
      </c>
      <c r="BC205">
        <v>46</v>
      </c>
      <c r="BD205" t="s">
        <v>74</v>
      </c>
      <c r="BE205" t="s">
        <v>3462</v>
      </c>
      <c r="BF205" t="str">
        <f>HYPERLINK("http://dx.doi.org/10.1016/j.jenvrad.2007.01.016","http://dx.doi.org/10.1016/j.jenvrad.2007.01.016")</f>
        <v>http://dx.doi.org/10.1016/j.jenvrad.2007.01.016</v>
      </c>
      <c r="BG205" t="s">
        <v>74</v>
      </c>
      <c r="BH205" t="s">
        <v>74</v>
      </c>
      <c r="BI205">
        <v>8</v>
      </c>
      <c r="BJ205" t="s">
        <v>237</v>
      </c>
      <c r="BK205" t="s">
        <v>1847</v>
      </c>
      <c r="BL205" t="s">
        <v>226</v>
      </c>
      <c r="BM205" t="s">
        <v>3396</v>
      </c>
      <c r="BN205">
        <v>17433852</v>
      </c>
      <c r="BO205" t="s">
        <v>74</v>
      </c>
      <c r="BP205" t="s">
        <v>74</v>
      </c>
      <c r="BQ205" t="s">
        <v>74</v>
      </c>
      <c r="BR205" t="s">
        <v>100</v>
      </c>
      <c r="BS205" t="s">
        <v>3463</v>
      </c>
      <c r="BT205" t="str">
        <f>HYPERLINK("https%3A%2F%2Fwww.webofscience.com%2Fwos%2Fwoscc%2Ffull-record%2FWOS:000248960600006","View Full Record in Web of Science")</f>
        <v>View Full Record in Web of Science</v>
      </c>
    </row>
    <row r="206" spans="1:72" x14ac:dyDescent="0.15">
      <c r="A206" t="s">
        <v>72</v>
      </c>
      <c r="B206" t="s">
        <v>3464</v>
      </c>
      <c r="C206" t="s">
        <v>74</v>
      </c>
      <c r="D206" t="s">
        <v>74</v>
      </c>
      <c r="E206" t="s">
        <v>74</v>
      </c>
      <c r="F206" t="s">
        <v>3465</v>
      </c>
      <c r="G206" t="s">
        <v>74</v>
      </c>
      <c r="H206" t="s">
        <v>74</v>
      </c>
      <c r="I206" t="s">
        <v>3466</v>
      </c>
      <c r="J206" t="s">
        <v>3384</v>
      </c>
      <c r="K206" t="s">
        <v>74</v>
      </c>
      <c r="L206" t="s">
        <v>74</v>
      </c>
      <c r="M206" t="s">
        <v>78</v>
      </c>
      <c r="N206" t="s">
        <v>176</v>
      </c>
      <c r="O206" t="s">
        <v>3401</v>
      </c>
      <c r="P206" t="s">
        <v>3402</v>
      </c>
      <c r="Q206" t="s">
        <v>3403</v>
      </c>
      <c r="R206" t="s">
        <v>74</v>
      </c>
      <c r="S206" t="s">
        <v>74</v>
      </c>
      <c r="T206" t="s">
        <v>3467</v>
      </c>
      <c r="U206" t="s">
        <v>3468</v>
      </c>
      <c r="V206" t="s">
        <v>3469</v>
      </c>
      <c r="W206" t="s">
        <v>3470</v>
      </c>
      <c r="X206" t="s">
        <v>3471</v>
      </c>
      <c r="Y206" t="s">
        <v>3472</v>
      </c>
      <c r="Z206" t="s">
        <v>3473</v>
      </c>
      <c r="AA206" t="s">
        <v>74</v>
      </c>
      <c r="AB206" t="s">
        <v>74</v>
      </c>
      <c r="AC206" t="s">
        <v>74</v>
      </c>
      <c r="AD206" t="s">
        <v>74</v>
      </c>
      <c r="AE206" t="s">
        <v>74</v>
      </c>
      <c r="AF206" t="s">
        <v>74</v>
      </c>
      <c r="AG206">
        <v>21</v>
      </c>
      <c r="AH206">
        <v>37</v>
      </c>
      <c r="AI206">
        <v>40</v>
      </c>
      <c r="AJ206">
        <v>2</v>
      </c>
      <c r="AK206">
        <v>20</v>
      </c>
      <c r="AL206" t="s">
        <v>3389</v>
      </c>
      <c r="AM206" t="s">
        <v>818</v>
      </c>
      <c r="AN206" t="s">
        <v>3390</v>
      </c>
      <c r="AO206" t="s">
        <v>3391</v>
      </c>
      <c r="AP206" t="s">
        <v>3436</v>
      </c>
      <c r="AQ206" t="s">
        <v>74</v>
      </c>
      <c r="AR206" t="s">
        <v>3392</v>
      </c>
      <c r="AS206" t="s">
        <v>3393</v>
      </c>
      <c r="AT206" t="s">
        <v>74</v>
      </c>
      <c r="AU206">
        <v>2007</v>
      </c>
      <c r="AV206">
        <v>96</v>
      </c>
      <c r="AW206" t="s">
        <v>2559</v>
      </c>
      <c r="AX206" t="s">
        <v>74</v>
      </c>
      <c r="AY206" t="s">
        <v>74</v>
      </c>
      <c r="AZ206" t="s">
        <v>3394</v>
      </c>
      <c r="BA206" t="s">
        <v>74</v>
      </c>
      <c r="BB206">
        <v>47</v>
      </c>
      <c r="BC206">
        <v>53</v>
      </c>
      <c r="BD206" t="s">
        <v>74</v>
      </c>
      <c r="BE206" t="s">
        <v>3474</v>
      </c>
      <c r="BF206" t="str">
        <f>HYPERLINK("http://dx.doi.org/10.1016/j.jenvrad.2007.01.028","http://dx.doi.org/10.1016/j.jenvrad.2007.01.028")</f>
        <v>http://dx.doi.org/10.1016/j.jenvrad.2007.01.028</v>
      </c>
      <c r="BG206" t="s">
        <v>74</v>
      </c>
      <c r="BH206" t="s">
        <v>74</v>
      </c>
      <c r="BI206">
        <v>7</v>
      </c>
      <c r="BJ206" t="s">
        <v>237</v>
      </c>
      <c r="BK206" t="s">
        <v>197</v>
      </c>
      <c r="BL206" t="s">
        <v>226</v>
      </c>
      <c r="BM206" t="s">
        <v>3396</v>
      </c>
      <c r="BN206">
        <v>17475374</v>
      </c>
      <c r="BO206" t="s">
        <v>74</v>
      </c>
      <c r="BP206" t="s">
        <v>74</v>
      </c>
      <c r="BQ206" t="s">
        <v>74</v>
      </c>
      <c r="BR206" t="s">
        <v>100</v>
      </c>
      <c r="BS206" t="s">
        <v>3475</v>
      </c>
      <c r="BT206" t="str">
        <f>HYPERLINK("https%3A%2F%2Fwww.webofscience.com%2Fwos%2Fwoscc%2Ffull-record%2FWOS:000248960600007","View Full Record in Web of Science")</f>
        <v>View Full Record in Web of Science</v>
      </c>
    </row>
    <row r="207" spans="1:72" x14ac:dyDescent="0.15">
      <c r="A207" t="s">
        <v>72</v>
      </c>
      <c r="B207" t="s">
        <v>3476</v>
      </c>
      <c r="C207" t="s">
        <v>74</v>
      </c>
      <c r="D207" t="s">
        <v>74</v>
      </c>
      <c r="E207" t="s">
        <v>74</v>
      </c>
      <c r="F207" t="s">
        <v>3477</v>
      </c>
      <c r="G207" t="s">
        <v>74</v>
      </c>
      <c r="H207" t="s">
        <v>74</v>
      </c>
      <c r="I207" t="s">
        <v>3478</v>
      </c>
      <c r="J207" t="s">
        <v>3384</v>
      </c>
      <c r="K207" t="s">
        <v>74</v>
      </c>
      <c r="L207" t="s">
        <v>74</v>
      </c>
      <c r="M207" t="s">
        <v>78</v>
      </c>
      <c r="N207" t="s">
        <v>176</v>
      </c>
      <c r="O207" t="s">
        <v>3401</v>
      </c>
      <c r="P207" t="s">
        <v>3402</v>
      </c>
      <c r="Q207" t="s">
        <v>3403</v>
      </c>
      <c r="R207" t="s">
        <v>74</v>
      </c>
      <c r="S207" t="s">
        <v>74</v>
      </c>
      <c r="T207" t="s">
        <v>3479</v>
      </c>
      <c r="U207" t="s">
        <v>3480</v>
      </c>
      <c r="V207" t="s">
        <v>3481</v>
      </c>
      <c r="W207" t="s">
        <v>3482</v>
      </c>
      <c r="X207" t="s">
        <v>74</v>
      </c>
      <c r="Y207" t="s">
        <v>3483</v>
      </c>
      <c r="Z207" t="s">
        <v>3484</v>
      </c>
      <c r="AA207" t="s">
        <v>74</v>
      </c>
      <c r="AB207" t="s">
        <v>74</v>
      </c>
      <c r="AC207" t="s">
        <v>74</v>
      </c>
      <c r="AD207" t="s">
        <v>74</v>
      </c>
      <c r="AE207" t="s">
        <v>74</v>
      </c>
      <c r="AF207" t="s">
        <v>74</v>
      </c>
      <c r="AG207">
        <v>15</v>
      </c>
      <c r="AH207">
        <v>33</v>
      </c>
      <c r="AI207">
        <v>35</v>
      </c>
      <c r="AJ207">
        <v>0</v>
      </c>
      <c r="AK207">
        <v>25</v>
      </c>
      <c r="AL207" t="s">
        <v>3389</v>
      </c>
      <c r="AM207" t="s">
        <v>818</v>
      </c>
      <c r="AN207" t="s">
        <v>3390</v>
      </c>
      <c r="AO207" t="s">
        <v>3391</v>
      </c>
      <c r="AP207" t="s">
        <v>3436</v>
      </c>
      <c r="AQ207" t="s">
        <v>74</v>
      </c>
      <c r="AR207" t="s">
        <v>3392</v>
      </c>
      <c r="AS207" t="s">
        <v>3393</v>
      </c>
      <c r="AT207" t="s">
        <v>74</v>
      </c>
      <c r="AU207">
        <v>2007</v>
      </c>
      <c r="AV207">
        <v>96</v>
      </c>
      <c r="AW207" t="s">
        <v>2559</v>
      </c>
      <c r="AX207" t="s">
        <v>74</v>
      </c>
      <c r="AY207" t="s">
        <v>74</v>
      </c>
      <c r="AZ207" t="s">
        <v>3394</v>
      </c>
      <c r="BA207" t="s">
        <v>74</v>
      </c>
      <c r="BB207">
        <v>54</v>
      </c>
      <c r="BC207">
        <v>62</v>
      </c>
      <c r="BD207" t="s">
        <v>74</v>
      </c>
      <c r="BE207" t="s">
        <v>3485</v>
      </c>
      <c r="BF207" t="str">
        <f>HYPERLINK("http://dx.doi.org/10.1016/j.jenvrad.2007.01.017","http://dx.doi.org/10.1016/j.jenvrad.2007.01.017")</f>
        <v>http://dx.doi.org/10.1016/j.jenvrad.2007.01.017</v>
      </c>
      <c r="BG207" t="s">
        <v>74</v>
      </c>
      <c r="BH207" t="s">
        <v>74</v>
      </c>
      <c r="BI207">
        <v>9</v>
      </c>
      <c r="BJ207" t="s">
        <v>237</v>
      </c>
      <c r="BK207" t="s">
        <v>197</v>
      </c>
      <c r="BL207" t="s">
        <v>226</v>
      </c>
      <c r="BM207" t="s">
        <v>3396</v>
      </c>
      <c r="BN207">
        <v>17418919</v>
      </c>
      <c r="BO207" t="s">
        <v>74</v>
      </c>
      <c r="BP207" t="s">
        <v>74</v>
      </c>
      <c r="BQ207" t="s">
        <v>74</v>
      </c>
      <c r="BR207" t="s">
        <v>100</v>
      </c>
      <c r="BS207" t="s">
        <v>3486</v>
      </c>
      <c r="BT207" t="str">
        <f>HYPERLINK("https%3A%2F%2Fwww.webofscience.com%2Fwos%2Fwoscc%2Ffull-record%2FWOS:000248960600008","View Full Record in Web of Science")</f>
        <v>View Full Record in Web of Science</v>
      </c>
    </row>
    <row r="208" spans="1:72" x14ac:dyDescent="0.15">
      <c r="A208" t="s">
        <v>72</v>
      </c>
      <c r="B208" t="s">
        <v>3487</v>
      </c>
      <c r="C208" t="s">
        <v>74</v>
      </c>
      <c r="D208" t="s">
        <v>74</v>
      </c>
      <c r="E208" t="s">
        <v>74</v>
      </c>
      <c r="F208" t="s">
        <v>3488</v>
      </c>
      <c r="G208" t="s">
        <v>74</v>
      </c>
      <c r="H208" t="s">
        <v>74</v>
      </c>
      <c r="I208" t="s">
        <v>3489</v>
      </c>
      <c r="J208" t="s">
        <v>3384</v>
      </c>
      <c r="K208" t="s">
        <v>74</v>
      </c>
      <c r="L208" t="s">
        <v>74</v>
      </c>
      <c r="M208" t="s">
        <v>78</v>
      </c>
      <c r="N208" t="s">
        <v>176</v>
      </c>
      <c r="O208" t="s">
        <v>3401</v>
      </c>
      <c r="P208" t="s">
        <v>3402</v>
      </c>
      <c r="Q208" t="s">
        <v>3403</v>
      </c>
      <c r="R208" t="s">
        <v>74</v>
      </c>
      <c r="S208" t="s">
        <v>74</v>
      </c>
      <c r="T208" t="s">
        <v>3490</v>
      </c>
      <c r="U208" t="s">
        <v>74</v>
      </c>
      <c r="V208" t="s">
        <v>3491</v>
      </c>
      <c r="W208" t="s">
        <v>3492</v>
      </c>
      <c r="X208" t="s">
        <v>3493</v>
      </c>
      <c r="Y208" t="s">
        <v>3494</v>
      </c>
      <c r="Z208" t="s">
        <v>3495</v>
      </c>
      <c r="AA208" t="s">
        <v>74</v>
      </c>
      <c r="AB208" t="s">
        <v>3496</v>
      </c>
      <c r="AC208" t="s">
        <v>74</v>
      </c>
      <c r="AD208" t="s">
        <v>74</v>
      </c>
      <c r="AE208" t="s">
        <v>74</v>
      </c>
      <c r="AF208" t="s">
        <v>74</v>
      </c>
      <c r="AG208">
        <v>14</v>
      </c>
      <c r="AH208">
        <v>6</v>
      </c>
      <c r="AI208">
        <v>6</v>
      </c>
      <c r="AJ208">
        <v>0</v>
      </c>
      <c r="AK208">
        <v>20</v>
      </c>
      <c r="AL208" t="s">
        <v>3389</v>
      </c>
      <c r="AM208" t="s">
        <v>818</v>
      </c>
      <c r="AN208" t="s">
        <v>3390</v>
      </c>
      <c r="AO208" t="s">
        <v>3391</v>
      </c>
      <c r="AP208" t="s">
        <v>3436</v>
      </c>
      <c r="AQ208" t="s">
        <v>74</v>
      </c>
      <c r="AR208" t="s">
        <v>3392</v>
      </c>
      <c r="AS208" t="s">
        <v>3393</v>
      </c>
      <c r="AT208" t="s">
        <v>74</v>
      </c>
      <c r="AU208">
        <v>2007</v>
      </c>
      <c r="AV208">
        <v>96</v>
      </c>
      <c r="AW208" t="s">
        <v>2559</v>
      </c>
      <c r="AX208" t="s">
        <v>74</v>
      </c>
      <c r="AY208" t="s">
        <v>74</v>
      </c>
      <c r="AZ208" t="s">
        <v>3394</v>
      </c>
      <c r="BA208" t="s">
        <v>74</v>
      </c>
      <c r="BB208">
        <v>63</v>
      </c>
      <c r="BC208">
        <v>74</v>
      </c>
      <c r="BD208" t="s">
        <v>74</v>
      </c>
      <c r="BE208" t="s">
        <v>3497</v>
      </c>
      <c r="BF208" t="str">
        <f>HYPERLINK("http://dx.doi.org/10.1016/j.jenvrad.2007.01.027","http://dx.doi.org/10.1016/j.jenvrad.2007.01.027")</f>
        <v>http://dx.doi.org/10.1016/j.jenvrad.2007.01.027</v>
      </c>
      <c r="BG208" t="s">
        <v>74</v>
      </c>
      <c r="BH208" t="s">
        <v>74</v>
      </c>
      <c r="BI208">
        <v>12</v>
      </c>
      <c r="BJ208" t="s">
        <v>237</v>
      </c>
      <c r="BK208" t="s">
        <v>197</v>
      </c>
      <c r="BL208" t="s">
        <v>226</v>
      </c>
      <c r="BM208" t="s">
        <v>3396</v>
      </c>
      <c r="BN208">
        <v>17512643</v>
      </c>
      <c r="BO208" t="s">
        <v>74</v>
      </c>
      <c r="BP208" t="s">
        <v>74</v>
      </c>
      <c r="BQ208" t="s">
        <v>74</v>
      </c>
      <c r="BR208" t="s">
        <v>100</v>
      </c>
      <c r="BS208" t="s">
        <v>3498</v>
      </c>
      <c r="BT208" t="str">
        <f>HYPERLINK("https%3A%2F%2Fwww.webofscience.com%2Fwos%2Fwoscc%2Ffull-record%2FWOS:000248960600009","View Full Record in Web of Science")</f>
        <v>View Full Record in Web of Science</v>
      </c>
    </row>
    <row r="209" spans="1:72" x14ac:dyDescent="0.15">
      <c r="A209" t="s">
        <v>72</v>
      </c>
      <c r="B209" t="s">
        <v>3499</v>
      </c>
      <c r="C209" t="s">
        <v>74</v>
      </c>
      <c r="D209" t="s">
        <v>74</v>
      </c>
      <c r="E209" t="s">
        <v>74</v>
      </c>
      <c r="F209" t="s">
        <v>3500</v>
      </c>
      <c r="G209" t="s">
        <v>74</v>
      </c>
      <c r="H209" t="s">
        <v>74</v>
      </c>
      <c r="I209" t="s">
        <v>3501</v>
      </c>
      <c r="J209" t="s">
        <v>3384</v>
      </c>
      <c r="K209" t="s">
        <v>74</v>
      </c>
      <c r="L209" t="s">
        <v>74</v>
      </c>
      <c r="M209" t="s">
        <v>78</v>
      </c>
      <c r="N209" t="s">
        <v>176</v>
      </c>
      <c r="O209" t="s">
        <v>3401</v>
      </c>
      <c r="P209" t="s">
        <v>3402</v>
      </c>
      <c r="Q209" t="s">
        <v>3403</v>
      </c>
      <c r="R209" t="s">
        <v>74</v>
      </c>
      <c r="S209" t="s">
        <v>74</v>
      </c>
      <c r="T209" t="s">
        <v>3502</v>
      </c>
      <c r="U209" t="s">
        <v>74</v>
      </c>
      <c r="V209" t="s">
        <v>3503</v>
      </c>
      <c r="W209" t="s">
        <v>3504</v>
      </c>
      <c r="X209" t="s">
        <v>3505</v>
      </c>
      <c r="Y209" t="s">
        <v>3506</v>
      </c>
      <c r="Z209" t="s">
        <v>3507</v>
      </c>
      <c r="AA209" t="s">
        <v>3508</v>
      </c>
      <c r="AB209" t="s">
        <v>3509</v>
      </c>
      <c r="AC209" t="s">
        <v>74</v>
      </c>
      <c r="AD209" t="s">
        <v>74</v>
      </c>
      <c r="AE209" t="s">
        <v>74</v>
      </c>
      <c r="AF209" t="s">
        <v>74</v>
      </c>
      <c r="AG209">
        <v>21</v>
      </c>
      <c r="AH209">
        <v>6</v>
      </c>
      <c r="AI209">
        <v>6</v>
      </c>
      <c r="AJ209">
        <v>1</v>
      </c>
      <c r="AK209">
        <v>9</v>
      </c>
      <c r="AL209" t="s">
        <v>3389</v>
      </c>
      <c r="AM209" t="s">
        <v>818</v>
      </c>
      <c r="AN209" t="s">
        <v>3390</v>
      </c>
      <c r="AO209" t="s">
        <v>3391</v>
      </c>
      <c r="AP209" t="s">
        <v>3436</v>
      </c>
      <c r="AQ209" t="s">
        <v>74</v>
      </c>
      <c r="AR209" t="s">
        <v>3392</v>
      </c>
      <c r="AS209" t="s">
        <v>3393</v>
      </c>
      <c r="AT209" t="s">
        <v>74</v>
      </c>
      <c r="AU209">
        <v>2007</v>
      </c>
      <c r="AV209">
        <v>96</v>
      </c>
      <c r="AW209" t="s">
        <v>2559</v>
      </c>
      <c r="AX209" t="s">
        <v>74</v>
      </c>
      <c r="AY209" t="s">
        <v>74</v>
      </c>
      <c r="AZ209" t="s">
        <v>3394</v>
      </c>
      <c r="BA209" t="s">
        <v>74</v>
      </c>
      <c r="BB209">
        <v>75</v>
      </c>
      <c r="BC209">
        <v>84</v>
      </c>
      <c r="BD209" t="s">
        <v>74</v>
      </c>
      <c r="BE209" t="s">
        <v>3510</v>
      </c>
      <c r="BF209" t="str">
        <f>HYPERLINK("http://dx.doi.org/10.1016/j.jenvrad.2007.01.018","http://dx.doi.org/10.1016/j.jenvrad.2007.01.018")</f>
        <v>http://dx.doi.org/10.1016/j.jenvrad.2007.01.018</v>
      </c>
      <c r="BG209" t="s">
        <v>74</v>
      </c>
      <c r="BH209" t="s">
        <v>74</v>
      </c>
      <c r="BI209">
        <v>10</v>
      </c>
      <c r="BJ209" t="s">
        <v>237</v>
      </c>
      <c r="BK209" t="s">
        <v>197</v>
      </c>
      <c r="BL209" t="s">
        <v>226</v>
      </c>
      <c r="BM209" t="s">
        <v>3396</v>
      </c>
      <c r="BN209">
        <v>17442468</v>
      </c>
      <c r="BO209" t="s">
        <v>74</v>
      </c>
      <c r="BP209" t="s">
        <v>74</v>
      </c>
      <c r="BQ209" t="s">
        <v>74</v>
      </c>
      <c r="BR209" t="s">
        <v>100</v>
      </c>
      <c r="BS209" t="s">
        <v>3511</v>
      </c>
      <c r="BT209" t="str">
        <f>HYPERLINK("https%3A%2F%2Fwww.webofscience.com%2Fwos%2Fwoscc%2Ffull-record%2FWOS:000248960600010","View Full Record in Web of Science")</f>
        <v>View Full Record in Web of Science</v>
      </c>
    </row>
    <row r="210" spans="1:72" x14ac:dyDescent="0.15">
      <c r="A210" t="s">
        <v>72</v>
      </c>
      <c r="B210" t="s">
        <v>3512</v>
      </c>
      <c r="C210" t="s">
        <v>74</v>
      </c>
      <c r="D210" t="s">
        <v>74</v>
      </c>
      <c r="E210" t="s">
        <v>74</v>
      </c>
      <c r="F210" t="s">
        <v>3513</v>
      </c>
      <c r="G210" t="s">
        <v>74</v>
      </c>
      <c r="H210" t="s">
        <v>74</v>
      </c>
      <c r="I210" t="s">
        <v>3514</v>
      </c>
      <c r="J210" t="s">
        <v>3384</v>
      </c>
      <c r="K210" t="s">
        <v>74</v>
      </c>
      <c r="L210" t="s">
        <v>74</v>
      </c>
      <c r="M210" t="s">
        <v>78</v>
      </c>
      <c r="N210" t="s">
        <v>176</v>
      </c>
      <c r="O210" t="s">
        <v>3401</v>
      </c>
      <c r="P210" t="s">
        <v>3402</v>
      </c>
      <c r="Q210" t="s">
        <v>3403</v>
      </c>
      <c r="R210" t="s">
        <v>74</v>
      </c>
      <c r="S210" t="s">
        <v>74</v>
      </c>
      <c r="T210" t="s">
        <v>3515</v>
      </c>
      <c r="U210" t="s">
        <v>3516</v>
      </c>
      <c r="V210" t="s">
        <v>3517</v>
      </c>
      <c r="W210" t="s">
        <v>3518</v>
      </c>
      <c r="X210" t="s">
        <v>3519</v>
      </c>
      <c r="Y210" t="s">
        <v>3520</v>
      </c>
      <c r="Z210" t="s">
        <v>3521</v>
      </c>
      <c r="AA210" t="s">
        <v>3522</v>
      </c>
      <c r="AB210" t="s">
        <v>74</v>
      </c>
      <c r="AC210" t="s">
        <v>74</v>
      </c>
      <c r="AD210" t="s">
        <v>74</v>
      </c>
      <c r="AE210" t="s">
        <v>74</v>
      </c>
      <c r="AF210" t="s">
        <v>74</v>
      </c>
      <c r="AG210">
        <v>11</v>
      </c>
      <c r="AH210">
        <v>16</v>
      </c>
      <c r="AI210">
        <v>18</v>
      </c>
      <c r="AJ210">
        <v>0</v>
      </c>
      <c r="AK210">
        <v>9</v>
      </c>
      <c r="AL210" t="s">
        <v>3389</v>
      </c>
      <c r="AM210" t="s">
        <v>818</v>
      </c>
      <c r="AN210" t="s">
        <v>3390</v>
      </c>
      <c r="AO210" t="s">
        <v>3391</v>
      </c>
      <c r="AP210" t="s">
        <v>3436</v>
      </c>
      <c r="AQ210" t="s">
        <v>74</v>
      </c>
      <c r="AR210" t="s">
        <v>3392</v>
      </c>
      <c r="AS210" t="s">
        <v>3393</v>
      </c>
      <c r="AT210" t="s">
        <v>74</v>
      </c>
      <c r="AU210">
        <v>2007</v>
      </c>
      <c r="AV210">
        <v>96</v>
      </c>
      <c r="AW210" t="s">
        <v>2559</v>
      </c>
      <c r="AX210" t="s">
        <v>74</v>
      </c>
      <c r="AY210" t="s">
        <v>74</v>
      </c>
      <c r="AZ210" t="s">
        <v>3394</v>
      </c>
      <c r="BA210" t="s">
        <v>74</v>
      </c>
      <c r="BB210">
        <v>85</v>
      </c>
      <c r="BC210">
        <v>93</v>
      </c>
      <c r="BD210" t="s">
        <v>74</v>
      </c>
      <c r="BE210" t="s">
        <v>3523</v>
      </c>
      <c r="BF210" t="str">
        <f>HYPERLINK("http://dx.doi.org/10.1016/j.jenvrad.2007.01.019","http://dx.doi.org/10.1016/j.jenvrad.2007.01.019")</f>
        <v>http://dx.doi.org/10.1016/j.jenvrad.2007.01.019</v>
      </c>
      <c r="BG210" t="s">
        <v>74</v>
      </c>
      <c r="BH210" t="s">
        <v>74</v>
      </c>
      <c r="BI210">
        <v>9</v>
      </c>
      <c r="BJ210" t="s">
        <v>237</v>
      </c>
      <c r="BK210" t="s">
        <v>197</v>
      </c>
      <c r="BL210" t="s">
        <v>226</v>
      </c>
      <c r="BM210" t="s">
        <v>3396</v>
      </c>
      <c r="BN210">
        <v>17420076</v>
      </c>
      <c r="BO210" t="s">
        <v>74</v>
      </c>
      <c r="BP210" t="s">
        <v>74</v>
      </c>
      <c r="BQ210" t="s">
        <v>74</v>
      </c>
      <c r="BR210" t="s">
        <v>100</v>
      </c>
      <c r="BS210" t="s">
        <v>3524</v>
      </c>
      <c r="BT210" t="str">
        <f>HYPERLINK("https%3A%2F%2Fwww.webofscience.com%2Fwos%2Fwoscc%2Ffull-record%2FWOS:000248960600011","View Full Record in Web of Science")</f>
        <v>View Full Record in Web of Science</v>
      </c>
    </row>
    <row r="211" spans="1:72" x14ac:dyDescent="0.15">
      <c r="A211" t="s">
        <v>72</v>
      </c>
      <c r="B211" t="s">
        <v>3525</v>
      </c>
      <c r="C211" t="s">
        <v>74</v>
      </c>
      <c r="D211" t="s">
        <v>74</v>
      </c>
      <c r="E211" t="s">
        <v>74</v>
      </c>
      <c r="F211" t="s">
        <v>3526</v>
      </c>
      <c r="G211" t="s">
        <v>74</v>
      </c>
      <c r="H211" t="s">
        <v>74</v>
      </c>
      <c r="I211" t="s">
        <v>3527</v>
      </c>
      <c r="J211" t="s">
        <v>3384</v>
      </c>
      <c r="K211" t="s">
        <v>74</v>
      </c>
      <c r="L211" t="s">
        <v>74</v>
      </c>
      <c r="M211" t="s">
        <v>78</v>
      </c>
      <c r="N211" t="s">
        <v>176</v>
      </c>
      <c r="O211" t="s">
        <v>3401</v>
      </c>
      <c r="P211" t="s">
        <v>3402</v>
      </c>
      <c r="Q211" t="s">
        <v>3403</v>
      </c>
      <c r="R211" t="s">
        <v>74</v>
      </c>
      <c r="S211" t="s">
        <v>74</v>
      </c>
      <c r="T211" t="s">
        <v>3528</v>
      </c>
      <c r="U211" t="s">
        <v>3529</v>
      </c>
      <c r="V211" t="s">
        <v>3530</v>
      </c>
      <c r="W211" t="s">
        <v>3531</v>
      </c>
      <c r="X211" t="s">
        <v>3532</v>
      </c>
      <c r="Y211" t="s">
        <v>3533</v>
      </c>
      <c r="Z211" t="s">
        <v>3534</v>
      </c>
      <c r="AA211" t="s">
        <v>3535</v>
      </c>
      <c r="AB211" t="s">
        <v>3536</v>
      </c>
      <c r="AC211" t="s">
        <v>74</v>
      </c>
      <c r="AD211" t="s">
        <v>74</v>
      </c>
      <c r="AE211" t="s">
        <v>74</v>
      </c>
      <c r="AF211" t="s">
        <v>74</v>
      </c>
      <c r="AG211">
        <v>22</v>
      </c>
      <c r="AH211">
        <v>13</v>
      </c>
      <c r="AI211">
        <v>13</v>
      </c>
      <c r="AJ211">
        <v>0</v>
      </c>
      <c r="AK211">
        <v>6</v>
      </c>
      <c r="AL211" t="s">
        <v>3389</v>
      </c>
      <c r="AM211" t="s">
        <v>818</v>
      </c>
      <c r="AN211" t="s">
        <v>3390</v>
      </c>
      <c r="AO211" t="s">
        <v>3391</v>
      </c>
      <c r="AP211" t="s">
        <v>3436</v>
      </c>
      <c r="AQ211" t="s">
        <v>74</v>
      </c>
      <c r="AR211" t="s">
        <v>3392</v>
      </c>
      <c r="AS211" t="s">
        <v>3393</v>
      </c>
      <c r="AT211" t="s">
        <v>74</v>
      </c>
      <c r="AU211">
        <v>2007</v>
      </c>
      <c r="AV211">
        <v>96</v>
      </c>
      <c r="AW211" t="s">
        <v>2559</v>
      </c>
      <c r="AX211" t="s">
        <v>74</v>
      </c>
      <c r="AY211" t="s">
        <v>74</v>
      </c>
      <c r="AZ211" t="s">
        <v>3394</v>
      </c>
      <c r="BA211" t="s">
        <v>74</v>
      </c>
      <c r="BB211">
        <v>94</v>
      </c>
      <c r="BC211">
        <v>102</v>
      </c>
      <c r="BD211" t="s">
        <v>74</v>
      </c>
      <c r="BE211" t="s">
        <v>3537</v>
      </c>
      <c r="BF211" t="str">
        <f>HYPERLINK("http://dx.doi.org/10.1016/j.jenvrad.2007.01.029","http://dx.doi.org/10.1016/j.jenvrad.2007.01.029")</f>
        <v>http://dx.doi.org/10.1016/j.jenvrad.2007.01.029</v>
      </c>
      <c r="BG211" t="s">
        <v>74</v>
      </c>
      <c r="BH211" t="s">
        <v>74</v>
      </c>
      <c r="BI211">
        <v>9</v>
      </c>
      <c r="BJ211" t="s">
        <v>237</v>
      </c>
      <c r="BK211" t="s">
        <v>197</v>
      </c>
      <c r="BL211" t="s">
        <v>226</v>
      </c>
      <c r="BM211" t="s">
        <v>3396</v>
      </c>
      <c r="BN211">
        <v>17482727</v>
      </c>
      <c r="BO211" t="s">
        <v>74</v>
      </c>
      <c r="BP211" t="s">
        <v>74</v>
      </c>
      <c r="BQ211" t="s">
        <v>74</v>
      </c>
      <c r="BR211" t="s">
        <v>100</v>
      </c>
      <c r="BS211" t="s">
        <v>3538</v>
      </c>
      <c r="BT211" t="str">
        <f>HYPERLINK("https%3A%2F%2Fwww.webofscience.com%2Fwos%2Fwoscc%2Ffull-record%2FWOS:000248960600012","View Full Record in Web of Science")</f>
        <v>View Full Record in Web of Science</v>
      </c>
    </row>
    <row r="212" spans="1:72" x14ac:dyDescent="0.15">
      <c r="A212" t="s">
        <v>72</v>
      </c>
      <c r="B212" t="s">
        <v>3539</v>
      </c>
      <c r="C212" t="s">
        <v>74</v>
      </c>
      <c r="D212" t="s">
        <v>74</v>
      </c>
      <c r="E212" t="s">
        <v>74</v>
      </c>
      <c r="F212" t="s">
        <v>3540</v>
      </c>
      <c r="G212" t="s">
        <v>74</v>
      </c>
      <c r="H212" t="s">
        <v>74</v>
      </c>
      <c r="I212" t="s">
        <v>3541</v>
      </c>
      <c r="J212" t="s">
        <v>3384</v>
      </c>
      <c r="K212" t="s">
        <v>74</v>
      </c>
      <c r="L212" t="s">
        <v>74</v>
      </c>
      <c r="M212" t="s">
        <v>78</v>
      </c>
      <c r="N212" t="s">
        <v>176</v>
      </c>
      <c r="O212" t="s">
        <v>3401</v>
      </c>
      <c r="P212" t="s">
        <v>3402</v>
      </c>
      <c r="Q212" t="s">
        <v>3403</v>
      </c>
      <c r="R212" t="s">
        <v>74</v>
      </c>
      <c r="S212" t="s">
        <v>74</v>
      </c>
      <c r="T212" t="s">
        <v>3542</v>
      </c>
      <c r="U212" t="s">
        <v>3543</v>
      </c>
      <c r="V212" t="s">
        <v>3544</v>
      </c>
      <c r="W212" t="s">
        <v>3545</v>
      </c>
      <c r="X212" t="s">
        <v>3546</v>
      </c>
      <c r="Y212" t="s">
        <v>3547</v>
      </c>
      <c r="Z212" t="s">
        <v>3548</v>
      </c>
      <c r="AA212" t="s">
        <v>74</v>
      </c>
      <c r="AB212" t="s">
        <v>74</v>
      </c>
      <c r="AC212" t="s">
        <v>74</v>
      </c>
      <c r="AD212" t="s">
        <v>74</v>
      </c>
      <c r="AE212" t="s">
        <v>74</v>
      </c>
      <c r="AF212" t="s">
        <v>74</v>
      </c>
      <c r="AG212">
        <v>14</v>
      </c>
      <c r="AH212">
        <v>3</v>
      </c>
      <c r="AI212">
        <v>4</v>
      </c>
      <c r="AJ212">
        <v>1</v>
      </c>
      <c r="AK212">
        <v>5</v>
      </c>
      <c r="AL212" t="s">
        <v>3389</v>
      </c>
      <c r="AM212" t="s">
        <v>818</v>
      </c>
      <c r="AN212" t="s">
        <v>3390</v>
      </c>
      <c r="AO212" t="s">
        <v>3391</v>
      </c>
      <c r="AP212" t="s">
        <v>74</v>
      </c>
      <c r="AQ212" t="s">
        <v>74</v>
      </c>
      <c r="AR212" t="s">
        <v>3392</v>
      </c>
      <c r="AS212" t="s">
        <v>3393</v>
      </c>
      <c r="AT212" t="s">
        <v>74</v>
      </c>
      <c r="AU212">
        <v>2007</v>
      </c>
      <c r="AV212">
        <v>96</v>
      </c>
      <c r="AW212" t="s">
        <v>2559</v>
      </c>
      <c r="AX212" t="s">
        <v>74</v>
      </c>
      <c r="AY212" t="s">
        <v>74</v>
      </c>
      <c r="AZ212" t="s">
        <v>3394</v>
      </c>
      <c r="BA212" t="s">
        <v>74</v>
      </c>
      <c r="BB212">
        <v>103</v>
      </c>
      <c r="BC212">
        <v>109</v>
      </c>
      <c r="BD212" t="s">
        <v>74</v>
      </c>
      <c r="BE212" t="s">
        <v>3549</v>
      </c>
      <c r="BF212" t="str">
        <f>HYPERLINK("http://dx.doi.org/10.1016/j.jenvrad.2007.01.022","http://dx.doi.org/10.1016/j.jenvrad.2007.01.022")</f>
        <v>http://dx.doi.org/10.1016/j.jenvrad.2007.01.022</v>
      </c>
      <c r="BG212" t="s">
        <v>74</v>
      </c>
      <c r="BH212" t="s">
        <v>74</v>
      </c>
      <c r="BI212">
        <v>7</v>
      </c>
      <c r="BJ212" t="s">
        <v>237</v>
      </c>
      <c r="BK212" t="s">
        <v>1847</v>
      </c>
      <c r="BL212" t="s">
        <v>226</v>
      </c>
      <c r="BM212" t="s">
        <v>3396</v>
      </c>
      <c r="BN212">
        <v>17428591</v>
      </c>
      <c r="BO212" t="s">
        <v>74</v>
      </c>
      <c r="BP212" t="s">
        <v>74</v>
      </c>
      <c r="BQ212" t="s">
        <v>74</v>
      </c>
      <c r="BR212" t="s">
        <v>100</v>
      </c>
      <c r="BS212" t="s">
        <v>3550</v>
      </c>
      <c r="BT212" t="str">
        <f>HYPERLINK("https%3A%2F%2Fwww.webofscience.com%2Fwos%2Fwoscc%2Ffull-record%2FWOS:000248960600013","View Full Record in Web of Science")</f>
        <v>View Full Record in Web of Science</v>
      </c>
    </row>
    <row r="213" spans="1:72" x14ac:dyDescent="0.15">
      <c r="A213" t="s">
        <v>72</v>
      </c>
      <c r="B213" t="s">
        <v>3551</v>
      </c>
      <c r="C213" t="s">
        <v>74</v>
      </c>
      <c r="D213" t="s">
        <v>74</v>
      </c>
      <c r="E213" t="s">
        <v>74</v>
      </c>
      <c r="F213" t="s">
        <v>3552</v>
      </c>
      <c r="G213" t="s">
        <v>74</v>
      </c>
      <c r="H213" t="s">
        <v>74</v>
      </c>
      <c r="I213" t="s">
        <v>3553</v>
      </c>
      <c r="J213" t="s">
        <v>3384</v>
      </c>
      <c r="K213" t="s">
        <v>74</v>
      </c>
      <c r="L213" t="s">
        <v>74</v>
      </c>
      <c r="M213" t="s">
        <v>78</v>
      </c>
      <c r="N213" t="s">
        <v>176</v>
      </c>
      <c r="O213" t="s">
        <v>3401</v>
      </c>
      <c r="P213" t="s">
        <v>3402</v>
      </c>
      <c r="Q213" t="s">
        <v>3403</v>
      </c>
      <c r="R213" t="s">
        <v>74</v>
      </c>
      <c r="S213" t="s">
        <v>74</v>
      </c>
      <c r="T213" t="s">
        <v>3554</v>
      </c>
      <c r="U213" t="s">
        <v>3555</v>
      </c>
      <c r="V213" t="s">
        <v>3556</v>
      </c>
      <c r="W213" t="s">
        <v>3557</v>
      </c>
      <c r="X213" t="s">
        <v>3558</v>
      </c>
      <c r="Y213" t="s">
        <v>3559</v>
      </c>
      <c r="Z213" t="s">
        <v>3560</v>
      </c>
      <c r="AA213" t="s">
        <v>3561</v>
      </c>
      <c r="AB213" t="s">
        <v>3562</v>
      </c>
      <c r="AC213" t="s">
        <v>74</v>
      </c>
      <c r="AD213" t="s">
        <v>74</v>
      </c>
      <c r="AE213" t="s">
        <v>74</v>
      </c>
      <c r="AF213" t="s">
        <v>74</v>
      </c>
      <c r="AG213">
        <v>6</v>
      </c>
      <c r="AH213">
        <v>2</v>
      </c>
      <c r="AI213">
        <v>2</v>
      </c>
      <c r="AJ213">
        <v>1</v>
      </c>
      <c r="AK213">
        <v>4</v>
      </c>
      <c r="AL213" t="s">
        <v>3389</v>
      </c>
      <c r="AM213" t="s">
        <v>818</v>
      </c>
      <c r="AN213" t="s">
        <v>3390</v>
      </c>
      <c r="AO213" t="s">
        <v>3391</v>
      </c>
      <c r="AP213" t="s">
        <v>74</v>
      </c>
      <c r="AQ213" t="s">
        <v>74</v>
      </c>
      <c r="AR213" t="s">
        <v>3392</v>
      </c>
      <c r="AS213" t="s">
        <v>3393</v>
      </c>
      <c r="AT213" t="s">
        <v>74</v>
      </c>
      <c r="AU213">
        <v>2007</v>
      </c>
      <c r="AV213">
        <v>96</v>
      </c>
      <c r="AW213" t="s">
        <v>2559</v>
      </c>
      <c r="AX213" t="s">
        <v>74</v>
      </c>
      <c r="AY213" t="s">
        <v>74</v>
      </c>
      <c r="AZ213" t="s">
        <v>3394</v>
      </c>
      <c r="BA213" t="s">
        <v>74</v>
      </c>
      <c r="BB213">
        <v>110</v>
      </c>
      <c r="BC213">
        <v>115</v>
      </c>
      <c r="BD213" t="s">
        <v>74</v>
      </c>
      <c r="BE213" t="s">
        <v>3563</v>
      </c>
      <c r="BF213" t="str">
        <f>HYPERLINK("http://dx.doi.org/10.1016/j.jenvrad.2007.01.026","http://dx.doi.org/10.1016/j.jenvrad.2007.01.026")</f>
        <v>http://dx.doi.org/10.1016/j.jenvrad.2007.01.026</v>
      </c>
      <c r="BG213" t="s">
        <v>74</v>
      </c>
      <c r="BH213" t="s">
        <v>74</v>
      </c>
      <c r="BI213">
        <v>6</v>
      </c>
      <c r="BJ213" t="s">
        <v>237</v>
      </c>
      <c r="BK213" t="s">
        <v>1847</v>
      </c>
      <c r="BL213" t="s">
        <v>226</v>
      </c>
      <c r="BM213" t="s">
        <v>3396</v>
      </c>
      <c r="BN213">
        <v>17482728</v>
      </c>
      <c r="BO213" t="s">
        <v>74</v>
      </c>
      <c r="BP213" t="s">
        <v>74</v>
      </c>
      <c r="BQ213" t="s">
        <v>74</v>
      </c>
      <c r="BR213" t="s">
        <v>100</v>
      </c>
      <c r="BS213" t="s">
        <v>3564</v>
      </c>
      <c r="BT213" t="str">
        <f>HYPERLINK("https%3A%2F%2Fwww.webofscience.com%2Fwos%2Fwoscc%2Ffull-record%2FWOS:000248960600014","View Full Record in Web of Science")</f>
        <v>View Full Record in Web of Science</v>
      </c>
    </row>
    <row r="214" spans="1:72" x14ac:dyDescent="0.15">
      <c r="A214" t="s">
        <v>72</v>
      </c>
      <c r="B214" t="s">
        <v>3565</v>
      </c>
      <c r="C214" t="s">
        <v>74</v>
      </c>
      <c r="D214" t="s">
        <v>74</v>
      </c>
      <c r="E214" t="s">
        <v>74</v>
      </c>
      <c r="F214" t="s">
        <v>3566</v>
      </c>
      <c r="G214" t="s">
        <v>74</v>
      </c>
      <c r="H214" t="s">
        <v>74</v>
      </c>
      <c r="I214" t="s">
        <v>3567</v>
      </c>
      <c r="J214" t="s">
        <v>3384</v>
      </c>
      <c r="K214" t="s">
        <v>74</v>
      </c>
      <c r="L214" t="s">
        <v>74</v>
      </c>
      <c r="M214" t="s">
        <v>78</v>
      </c>
      <c r="N214" t="s">
        <v>176</v>
      </c>
      <c r="O214" t="s">
        <v>3401</v>
      </c>
      <c r="P214" t="s">
        <v>3402</v>
      </c>
      <c r="Q214" t="s">
        <v>3403</v>
      </c>
      <c r="R214" t="s">
        <v>74</v>
      </c>
      <c r="S214" t="s">
        <v>74</v>
      </c>
      <c r="T214" t="s">
        <v>3568</v>
      </c>
      <c r="U214" t="s">
        <v>74</v>
      </c>
      <c r="V214" t="s">
        <v>3569</v>
      </c>
      <c r="W214" t="s">
        <v>3570</v>
      </c>
      <c r="X214" t="s">
        <v>3571</v>
      </c>
      <c r="Y214" t="s">
        <v>3572</v>
      </c>
      <c r="Z214" t="s">
        <v>3573</v>
      </c>
      <c r="AA214" t="s">
        <v>74</v>
      </c>
      <c r="AB214" t="s">
        <v>74</v>
      </c>
      <c r="AC214" t="s">
        <v>74</v>
      </c>
      <c r="AD214" t="s">
        <v>74</v>
      </c>
      <c r="AE214" t="s">
        <v>74</v>
      </c>
      <c r="AF214" t="s">
        <v>74</v>
      </c>
      <c r="AG214">
        <v>13</v>
      </c>
      <c r="AH214">
        <v>20</v>
      </c>
      <c r="AI214">
        <v>26</v>
      </c>
      <c r="AJ214">
        <v>0</v>
      </c>
      <c r="AK214">
        <v>14</v>
      </c>
      <c r="AL214" t="s">
        <v>3389</v>
      </c>
      <c r="AM214" t="s">
        <v>818</v>
      </c>
      <c r="AN214" t="s">
        <v>3390</v>
      </c>
      <c r="AO214" t="s">
        <v>3391</v>
      </c>
      <c r="AP214" t="s">
        <v>74</v>
      </c>
      <c r="AQ214" t="s">
        <v>74</v>
      </c>
      <c r="AR214" t="s">
        <v>3392</v>
      </c>
      <c r="AS214" t="s">
        <v>3393</v>
      </c>
      <c r="AT214" t="s">
        <v>74</v>
      </c>
      <c r="AU214">
        <v>2007</v>
      </c>
      <c r="AV214">
        <v>96</v>
      </c>
      <c r="AW214" t="s">
        <v>2559</v>
      </c>
      <c r="AX214" t="s">
        <v>74</v>
      </c>
      <c r="AY214" t="s">
        <v>74</v>
      </c>
      <c r="AZ214" t="s">
        <v>3394</v>
      </c>
      <c r="BA214" t="s">
        <v>74</v>
      </c>
      <c r="BB214">
        <v>116</v>
      </c>
      <c r="BC214">
        <v>121</v>
      </c>
      <c r="BD214" t="s">
        <v>74</v>
      </c>
      <c r="BE214" t="s">
        <v>3574</v>
      </c>
      <c r="BF214" t="str">
        <f>HYPERLINK("http://dx.doi.org/10.1016/j.jenvrad.2007.01.020","http://dx.doi.org/10.1016/j.jenvrad.2007.01.020")</f>
        <v>http://dx.doi.org/10.1016/j.jenvrad.2007.01.020</v>
      </c>
      <c r="BG214" t="s">
        <v>74</v>
      </c>
      <c r="BH214" t="s">
        <v>74</v>
      </c>
      <c r="BI214">
        <v>6</v>
      </c>
      <c r="BJ214" t="s">
        <v>237</v>
      </c>
      <c r="BK214" t="s">
        <v>1847</v>
      </c>
      <c r="BL214" t="s">
        <v>226</v>
      </c>
      <c r="BM214" t="s">
        <v>3396</v>
      </c>
      <c r="BN214">
        <v>17507121</v>
      </c>
      <c r="BO214" t="s">
        <v>1384</v>
      </c>
      <c r="BP214" t="s">
        <v>74</v>
      </c>
      <c r="BQ214" t="s">
        <v>74</v>
      </c>
      <c r="BR214" t="s">
        <v>100</v>
      </c>
      <c r="BS214" t="s">
        <v>3575</v>
      </c>
      <c r="BT214" t="str">
        <f>HYPERLINK("https%3A%2F%2Fwww.webofscience.com%2Fwos%2Fwoscc%2Ffull-record%2FWOS:000248960600015","View Full Record in Web of Science")</f>
        <v>View Full Record in Web of Science</v>
      </c>
    </row>
    <row r="215" spans="1:72" x14ac:dyDescent="0.15">
      <c r="A215" t="s">
        <v>72</v>
      </c>
      <c r="B215" t="s">
        <v>3576</v>
      </c>
      <c r="C215" t="s">
        <v>74</v>
      </c>
      <c r="D215" t="s">
        <v>74</v>
      </c>
      <c r="E215" t="s">
        <v>74</v>
      </c>
      <c r="F215" t="s">
        <v>3577</v>
      </c>
      <c r="G215" t="s">
        <v>74</v>
      </c>
      <c r="H215" t="s">
        <v>74</v>
      </c>
      <c r="I215" t="s">
        <v>3578</v>
      </c>
      <c r="J215" t="s">
        <v>3384</v>
      </c>
      <c r="K215" t="s">
        <v>74</v>
      </c>
      <c r="L215" t="s">
        <v>74</v>
      </c>
      <c r="M215" t="s">
        <v>78</v>
      </c>
      <c r="N215" t="s">
        <v>176</v>
      </c>
      <c r="O215" t="s">
        <v>3401</v>
      </c>
      <c r="P215" t="s">
        <v>3402</v>
      </c>
      <c r="Q215" t="s">
        <v>3403</v>
      </c>
      <c r="R215" t="s">
        <v>74</v>
      </c>
      <c r="S215" t="s">
        <v>74</v>
      </c>
      <c r="T215" t="s">
        <v>3579</v>
      </c>
      <c r="U215" t="s">
        <v>3580</v>
      </c>
      <c r="V215" t="s">
        <v>3581</v>
      </c>
      <c r="W215" t="s">
        <v>3582</v>
      </c>
      <c r="X215" t="s">
        <v>3583</v>
      </c>
      <c r="Y215" t="s">
        <v>3584</v>
      </c>
      <c r="Z215" t="s">
        <v>3585</v>
      </c>
      <c r="AA215" t="s">
        <v>3586</v>
      </c>
      <c r="AB215" t="s">
        <v>3587</v>
      </c>
      <c r="AC215" t="s">
        <v>74</v>
      </c>
      <c r="AD215" t="s">
        <v>74</v>
      </c>
      <c r="AE215" t="s">
        <v>74</v>
      </c>
      <c r="AF215" t="s">
        <v>74</v>
      </c>
      <c r="AG215">
        <v>26</v>
      </c>
      <c r="AH215">
        <v>25</v>
      </c>
      <c r="AI215">
        <v>27</v>
      </c>
      <c r="AJ215">
        <v>1</v>
      </c>
      <c r="AK215">
        <v>18</v>
      </c>
      <c r="AL215" t="s">
        <v>3389</v>
      </c>
      <c r="AM215" t="s">
        <v>818</v>
      </c>
      <c r="AN215" t="s">
        <v>3390</v>
      </c>
      <c r="AO215" t="s">
        <v>3391</v>
      </c>
      <c r="AP215" t="s">
        <v>3436</v>
      </c>
      <c r="AQ215" t="s">
        <v>74</v>
      </c>
      <c r="AR215" t="s">
        <v>3392</v>
      </c>
      <c r="AS215" t="s">
        <v>3393</v>
      </c>
      <c r="AT215" t="s">
        <v>74</v>
      </c>
      <c r="AU215">
        <v>2007</v>
      </c>
      <c r="AV215">
        <v>96</v>
      </c>
      <c r="AW215" t="s">
        <v>2559</v>
      </c>
      <c r="AX215" t="s">
        <v>74</v>
      </c>
      <c r="AY215" t="s">
        <v>74</v>
      </c>
      <c r="AZ215" t="s">
        <v>3394</v>
      </c>
      <c r="BA215" t="s">
        <v>74</v>
      </c>
      <c r="BB215">
        <v>122</v>
      </c>
      <c r="BC215">
        <v>129</v>
      </c>
      <c r="BD215" t="s">
        <v>74</v>
      </c>
      <c r="BE215" t="s">
        <v>3588</v>
      </c>
      <c r="BF215" t="str">
        <f>HYPERLINK("http://dx.doi.org/10.1016/j.jenvrad.2007.01.030","http://dx.doi.org/10.1016/j.jenvrad.2007.01.030")</f>
        <v>http://dx.doi.org/10.1016/j.jenvrad.2007.01.030</v>
      </c>
      <c r="BG215" t="s">
        <v>74</v>
      </c>
      <c r="BH215" t="s">
        <v>74</v>
      </c>
      <c r="BI215">
        <v>8</v>
      </c>
      <c r="BJ215" t="s">
        <v>237</v>
      </c>
      <c r="BK215" t="s">
        <v>197</v>
      </c>
      <c r="BL215" t="s">
        <v>226</v>
      </c>
      <c r="BM215" t="s">
        <v>3396</v>
      </c>
      <c r="BN215">
        <v>17481784</v>
      </c>
      <c r="BO215" t="s">
        <v>74</v>
      </c>
      <c r="BP215" t="s">
        <v>74</v>
      </c>
      <c r="BQ215" t="s">
        <v>74</v>
      </c>
      <c r="BR215" t="s">
        <v>100</v>
      </c>
      <c r="BS215" t="s">
        <v>3589</v>
      </c>
      <c r="BT215" t="str">
        <f>HYPERLINK("https%3A%2F%2Fwww.webofscience.com%2Fwos%2Fwoscc%2Ffull-record%2FWOS:000248960600016","View Full Record in Web of Science")</f>
        <v>View Full Record in Web of Science</v>
      </c>
    </row>
    <row r="216" spans="1:72" x14ac:dyDescent="0.15">
      <c r="A216" t="s">
        <v>72</v>
      </c>
      <c r="B216" t="s">
        <v>3590</v>
      </c>
      <c r="C216" t="s">
        <v>74</v>
      </c>
      <c r="D216" t="s">
        <v>74</v>
      </c>
      <c r="E216" t="s">
        <v>74</v>
      </c>
      <c r="F216" t="s">
        <v>3591</v>
      </c>
      <c r="G216" t="s">
        <v>74</v>
      </c>
      <c r="H216" t="s">
        <v>74</v>
      </c>
      <c r="I216" t="s">
        <v>3592</v>
      </c>
      <c r="J216" t="s">
        <v>3384</v>
      </c>
      <c r="K216" t="s">
        <v>74</v>
      </c>
      <c r="L216" t="s">
        <v>74</v>
      </c>
      <c r="M216" t="s">
        <v>78</v>
      </c>
      <c r="N216" t="s">
        <v>176</v>
      </c>
      <c r="O216" t="s">
        <v>3401</v>
      </c>
      <c r="P216" t="s">
        <v>3402</v>
      </c>
      <c r="Q216" t="s">
        <v>3403</v>
      </c>
      <c r="R216" t="s">
        <v>74</v>
      </c>
      <c r="S216" t="s">
        <v>74</v>
      </c>
      <c r="T216" t="s">
        <v>3593</v>
      </c>
      <c r="U216" t="s">
        <v>74</v>
      </c>
      <c r="V216" t="s">
        <v>3594</v>
      </c>
      <c r="W216" t="s">
        <v>3595</v>
      </c>
      <c r="X216" t="s">
        <v>3596</v>
      </c>
      <c r="Y216" t="s">
        <v>3597</v>
      </c>
      <c r="Z216" t="s">
        <v>3598</v>
      </c>
      <c r="AA216" t="s">
        <v>3599</v>
      </c>
      <c r="AB216" t="s">
        <v>74</v>
      </c>
      <c r="AC216" t="s">
        <v>74</v>
      </c>
      <c r="AD216" t="s">
        <v>74</v>
      </c>
      <c r="AE216" t="s">
        <v>74</v>
      </c>
      <c r="AF216" t="s">
        <v>74</v>
      </c>
      <c r="AG216">
        <v>11</v>
      </c>
      <c r="AH216">
        <v>8</v>
      </c>
      <c r="AI216">
        <v>9</v>
      </c>
      <c r="AJ216">
        <v>1</v>
      </c>
      <c r="AK216">
        <v>5</v>
      </c>
      <c r="AL216" t="s">
        <v>3389</v>
      </c>
      <c r="AM216" t="s">
        <v>818</v>
      </c>
      <c r="AN216" t="s">
        <v>3390</v>
      </c>
      <c r="AO216" t="s">
        <v>3391</v>
      </c>
      <c r="AP216" t="s">
        <v>74</v>
      </c>
      <c r="AQ216" t="s">
        <v>74</v>
      </c>
      <c r="AR216" t="s">
        <v>3392</v>
      </c>
      <c r="AS216" t="s">
        <v>3393</v>
      </c>
      <c r="AT216" t="s">
        <v>74</v>
      </c>
      <c r="AU216">
        <v>2007</v>
      </c>
      <c r="AV216">
        <v>96</v>
      </c>
      <c r="AW216" t="s">
        <v>2559</v>
      </c>
      <c r="AX216" t="s">
        <v>74</v>
      </c>
      <c r="AY216" t="s">
        <v>74</v>
      </c>
      <c r="AZ216" t="s">
        <v>3394</v>
      </c>
      <c r="BA216" t="s">
        <v>74</v>
      </c>
      <c r="BB216">
        <v>130</v>
      </c>
      <c r="BC216">
        <v>137</v>
      </c>
      <c r="BD216" t="s">
        <v>74</v>
      </c>
      <c r="BE216" t="s">
        <v>3600</v>
      </c>
      <c r="BF216" t="str">
        <f>HYPERLINK("http://dx.doi.org/10.1016/j.jenvrad.2007.01.021","http://dx.doi.org/10.1016/j.jenvrad.2007.01.021")</f>
        <v>http://dx.doi.org/10.1016/j.jenvrad.2007.01.021</v>
      </c>
      <c r="BG216" t="s">
        <v>74</v>
      </c>
      <c r="BH216" t="s">
        <v>74</v>
      </c>
      <c r="BI216">
        <v>8</v>
      </c>
      <c r="BJ216" t="s">
        <v>237</v>
      </c>
      <c r="BK216" t="s">
        <v>1847</v>
      </c>
      <c r="BL216" t="s">
        <v>226</v>
      </c>
      <c r="BM216" t="s">
        <v>3396</v>
      </c>
      <c r="BN216">
        <v>17434652</v>
      </c>
      <c r="BO216" t="s">
        <v>74</v>
      </c>
      <c r="BP216" t="s">
        <v>74</v>
      </c>
      <c r="BQ216" t="s">
        <v>74</v>
      </c>
      <c r="BR216" t="s">
        <v>100</v>
      </c>
      <c r="BS216" t="s">
        <v>3601</v>
      </c>
      <c r="BT216" t="str">
        <f>HYPERLINK("https%3A%2F%2Fwww.webofscience.com%2Fwos%2Fwoscc%2Ffull-record%2FWOS:000248960600017","View Full Record in Web of Science")</f>
        <v>View Full Record in Web of Science</v>
      </c>
    </row>
    <row r="217" spans="1:72" x14ac:dyDescent="0.15">
      <c r="A217" t="s">
        <v>72</v>
      </c>
      <c r="B217" t="s">
        <v>3602</v>
      </c>
      <c r="C217" t="s">
        <v>74</v>
      </c>
      <c r="D217" t="s">
        <v>74</v>
      </c>
      <c r="E217" t="s">
        <v>74</v>
      </c>
      <c r="F217" t="s">
        <v>3603</v>
      </c>
      <c r="G217" t="s">
        <v>74</v>
      </c>
      <c r="H217" t="s">
        <v>74</v>
      </c>
      <c r="I217" t="s">
        <v>3604</v>
      </c>
      <c r="J217" t="s">
        <v>3384</v>
      </c>
      <c r="K217" t="s">
        <v>74</v>
      </c>
      <c r="L217" t="s">
        <v>74</v>
      </c>
      <c r="M217" t="s">
        <v>78</v>
      </c>
      <c r="N217" t="s">
        <v>176</v>
      </c>
      <c r="O217" t="s">
        <v>3401</v>
      </c>
      <c r="P217" t="s">
        <v>3402</v>
      </c>
      <c r="Q217" t="s">
        <v>3403</v>
      </c>
      <c r="R217" t="s">
        <v>74</v>
      </c>
      <c r="S217" t="s">
        <v>74</v>
      </c>
      <c r="T217" t="s">
        <v>3605</v>
      </c>
      <c r="U217" t="s">
        <v>74</v>
      </c>
      <c r="V217" t="s">
        <v>3606</v>
      </c>
      <c r="W217" t="s">
        <v>3607</v>
      </c>
      <c r="X217" t="s">
        <v>3608</v>
      </c>
      <c r="Y217" t="s">
        <v>3609</v>
      </c>
      <c r="Z217" t="s">
        <v>3610</v>
      </c>
      <c r="AA217" t="s">
        <v>74</v>
      </c>
      <c r="AB217" t="s">
        <v>74</v>
      </c>
      <c r="AC217" t="s">
        <v>74</v>
      </c>
      <c r="AD217" t="s">
        <v>74</v>
      </c>
      <c r="AE217" t="s">
        <v>74</v>
      </c>
      <c r="AF217" t="s">
        <v>74</v>
      </c>
      <c r="AG217">
        <v>7</v>
      </c>
      <c r="AH217">
        <v>2</v>
      </c>
      <c r="AI217">
        <v>3</v>
      </c>
      <c r="AJ217">
        <v>0</v>
      </c>
      <c r="AK217">
        <v>10</v>
      </c>
      <c r="AL217" t="s">
        <v>3389</v>
      </c>
      <c r="AM217" t="s">
        <v>818</v>
      </c>
      <c r="AN217" t="s">
        <v>3390</v>
      </c>
      <c r="AO217" t="s">
        <v>3391</v>
      </c>
      <c r="AP217" t="s">
        <v>74</v>
      </c>
      <c r="AQ217" t="s">
        <v>74</v>
      </c>
      <c r="AR217" t="s">
        <v>3392</v>
      </c>
      <c r="AS217" t="s">
        <v>3393</v>
      </c>
      <c r="AT217" t="s">
        <v>74</v>
      </c>
      <c r="AU217">
        <v>2007</v>
      </c>
      <c r="AV217">
        <v>96</v>
      </c>
      <c r="AW217" t="s">
        <v>2559</v>
      </c>
      <c r="AX217" t="s">
        <v>74</v>
      </c>
      <c r="AY217" t="s">
        <v>74</v>
      </c>
      <c r="AZ217" t="s">
        <v>3394</v>
      </c>
      <c r="BA217" t="s">
        <v>74</v>
      </c>
      <c r="BB217">
        <v>138</v>
      </c>
      <c r="BC217">
        <v>143</v>
      </c>
      <c r="BD217" t="s">
        <v>74</v>
      </c>
      <c r="BE217" t="s">
        <v>3611</v>
      </c>
      <c r="BF217" t="str">
        <f>HYPERLINK("http://dx.doi.org/10.1016/j.jenvrad.2007.01.023","http://dx.doi.org/10.1016/j.jenvrad.2007.01.023")</f>
        <v>http://dx.doi.org/10.1016/j.jenvrad.2007.01.023</v>
      </c>
      <c r="BG217" t="s">
        <v>74</v>
      </c>
      <c r="BH217" t="s">
        <v>74</v>
      </c>
      <c r="BI217">
        <v>6</v>
      </c>
      <c r="BJ217" t="s">
        <v>237</v>
      </c>
      <c r="BK217" t="s">
        <v>1847</v>
      </c>
      <c r="BL217" t="s">
        <v>226</v>
      </c>
      <c r="BM217" t="s">
        <v>3396</v>
      </c>
      <c r="BN217">
        <v>17428590</v>
      </c>
      <c r="BO217" t="s">
        <v>74</v>
      </c>
      <c r="BP217" t="s">
        <v>74</v>
      </c>
      <c r="BQ217" t="s">
        <v>74</v>
      </c>
      <c r="BR217" t="s">
        <v>100</v>
      </c>
      <c r="BS217" t="s">
        <v>3612</v>
      </c>
      <c r="BT217" t="str">
        <f>HYPERLINK("https%3A%2F%2Fwww.webofscience.com%2Fwos%2Fwoscc%2Ffull-record%2FWOS:000248960600018","View Full Record in Web of Science")</f>
        <v>View Full Record in Web of Science</v>
      </c>
    </row>
    <row r="218" spans="1:72" x14ac:dyDescent="0.15">
      <c r="A218" t="s">
        <v>72</v>
      </c>
      <c r="B218" t="s">
        <v>3613</v>
      </c>
      <c r="C218" t="s">
        <v>74</v>
      </c>
      <c r="D218" t="s">
        <v>74</v>
      </c>
      <c r="E218" t="s">
        <v>74</v>
      </c>
      <c r="F218" t="s">
        <v>3614</v>
      </c>
      <c r="G218" t="s">
        <v>74</v>
      </c>
      <c r="H218" t="s">
        <v>74</v>
      </c>
      <c r="I218" t="s">
        <v>3615</v>
      </c>
      <c r="J218" t="s">
        <v>3384</v>
      </c>
      <c r="K218" t="s">
        <v>74</v>
      </c>
      <c r="L218" t="s">
        <v>74</v>
      </c>
      <c r="M218" t="s">
        <v>78</v>
      </c>
      <c r="N218" t="s">
        <v>176</v>
      </c>
      <c r="O218" t="s">
        <v>3401</v>
      </c>
      <c r="P218" t="s">
        <v>3402</v>
      </c>
      <c r="Q218" t="s">
        <v>3403</v>
      </c>
      <c r="R218" t="s">
        <v>74</v>
      </c>
      <c r="S218" t="s">
        <v>74</v>
      </c>
      <c r="T218" t="s">
        <v>3616</v>
      </c>
      <c r="U218" t="s">
        <v>3617</v>
      </c>
      <c r="V218" t="s">
        <v>3618</v>
      </c>
      <c r="W218" t="s">
        <v>3619</v>
      </c>
      <c r="X218" t="s">
        <v>3620</v>
      </c>
      <c r="Y218" t="s">
        <v>3621</v>
      </c>
      <c r="Z218" t="s">
        <v>3622</v>
      </c>
      <c r="AA218" t="s">
        <v>3623</v>
      </c>
      <c r="AB218" t="s">
        <v>3624</v>
      </c>
      <c r="AC218" t="s">
        <v>74</v>
      </c>
      <c r="AD218" t="s">
        <v>74</v>
      </c>
      <c r="AE218" t="s">
        <v>74</v>
      </c>
      <c r="AF218" t="s">
        <v>74</v>
      </c>
      <c r="AG218">
        <v>20</v>
      </c>
      <c r="AH218">
        <v>12</v>
      </c>
      <c r="AI218">
        <v>13</v>
      </c>
      <c r="AJ218">
        <v>0</v>
      </c>
      <c r="AK218">
        <v>3</v>
      </c>
      <c r="AL218" t="s">
        <v>3389</v>
      </c>
      <c r="AM218" t="s">
        <v>818</v>
      </c>
      <c r="AN218" t="s">
        <v>3390</v>
      </c>
      <c r="AO218" t="s">
        <v>3391</v>
      </c>
      <c r="AP218" t="s">
        <v>74</v>
      </c>
      <c r="AQ218" t="s">
        <v>74</v>
      </c>
      <c r="AR218" t="s">
        <v>3392</v>
      </c>
      <c r="AS218" t="s">
        <v>3393</v>
      </c>
      <c r="AT218" t="s">
        <v>74</v>
      </c>
      <c r="AU218">
        <v>2007</v>
      </c>
      <c r="AV218">
        <v>96</v>
      </c>
      <c r="AW218" t="s">
        <v>2559</v>
      </c>
      <c r="AX218" t="s">
        <v>74</v>
      </c>
      <c r="AY218" t="s">
        <v>74</v>
      </c>
      <c r="AZ218" t="s">
        <v>3394</v>
      </c>
      <c r="BA218" t="s">
        <v>74</v>
      </c>
      <c r="BB218">
        <v>144</v>
      </c>
      <c r="BC218">
        <v>156</v>
      </c>
      <c r="BD218" t="s">
        <v>74</v>
      </c>
      <c r="BE218" t="s">
        <v>3625</v>
      </c>
      <c r="BF218" t="str">
        <f>HYPERLINK("http://dx.doi.org/10.1016/j.jenvrad.2007.01.024","http://dx.doi.org/10.1016/j.jenvrad.2007.01.024")</f>
        <v>http://dx.doi.org/10.1016/j.jenvrad.2007.01.024</v>
      </c>
      <c r="BG218" t="s">
        <v>74</v>
      </c>
      <c r="BH218" t="s">
        <v>74</v>
      </c>
      <c r="BI218">
        <v>13</v>
      </c>
      <c r="BJ218" t="s">
        <v>237</v>
      </c>
      <c r="BK218" t="s">
        <v>1847</v>
      </c>
      <c r="BL218" t="s">
        <v>226</v>
      </c>
      <c r="BM218" t="s">
        <v>3396</v>
      </c>
      <c r="BN218">
        <v>17462796</v>
      </c>
      <c r="BO218" t="s">
        <v>74</v>
      </c>
      <c r="BP218" t="s">
        <v>74</v>
      </c>
      <c r="BQ218" t="s">
        <v>74</v>
      </c>
      <c r="BR218" t="s">
        <v>100</v>
      </c>
      <c r="BS218" t="s">
        <v>3626</v>
      </c>
      <c r="BT218" t="str">
        <f>HYPERLINK("https%3A%2F%2Fwww.webofscience.com%2Fwos%2Fwoscc%2Ffull-record%2FWOS:000248960600019","View Full Record in Web of Science")</f>
        <v>View Full Record in Web of Science</v>
      </c>
    </row>
    <row r="219" spans="1:72" x14ac:dyDescent="0.15">
      <c r="A219" t="s">
        <v>72</v>
      </c>
      <c r="B219" t="s">
        <v>3627</v>
      </c>
      <c r="C219" t="s">
        <v>74</v>
      </c>
      <c r="D219" t="s">
        <v>74</v>
      </c>
      <c r="E219" t="s">
        <v>74</v>
      </c>
      <c r="F219" t="s">
        <v>3628</v>
      </c>
      <c r="G219" t="s">
        <v>74</v>
      </c>
      <c r="H219" t="s">
        <v>74</v>
      </c>
      <c r="I219" t="s">
        <v>3629</v>
      </c>
      <c r="J219" t="s">
        <v>3630</v>
      </c>
      <c r="K219" t="s">
        <v>74</v>
      </c>
      <c r="L219" t="s">
        <v>74</v>
      </c>
      <c r="M219" t="s">
        <v>78</v>
      </c>
      <c r="N219" t="s">
        <v>79</v>
      </c>
      <c r="O219" t="s">
        <v>74</v>
      </c>
      <c r="P219" t="s">
        <v>74</v>
      </c>
      <c r="Q219" t="s">
        <v>74</v>
      </c>
      <c r="R219" t="s">
        <v>74</v>
      </c>
      <c r="S219" t="s">
        <v>74</v>
      </c>
      <c r="T219" t="s">
        <v>74</v>
      </c>
      <c r="U219" t="s">
        <v>3631</v>
      </c>
      <c r="V219" t="s">
        <v>3632</v>
      </c>
      <c r="W219" t="s">
        <v>3633</v>
      </c>
      <c r="X219" t="s">
        <v>3634</v>
      </c>
      <c r="Y219" t="s">
        <v>3635</v>
      </c>
      <c r="Z219" t="s">
        <v>3636</v>
      </c>
      <c r="AA219" t="s">
        <v>3637</v>
      </c>
      <c r="AB219" t="s">
        <v>3638</v>
      </c>
      <c r="AC219" t="s">
        <v>74</v>
      </c>
      <c r="AD219" t="s">
        <v>74</v>
      </c>
      <c r="AE219" t="s">
        <v>74</v>
      </c>
      <c r="AF219" t="s">
        <v>74</v>
      </c>
      <c r="AG219">
        <v>25</v>
      </c>
      <c r="AH219">
        <v>0</v>
      </c>
      <c r="AI219">
        <v>0</v>
      </c>
      <c r="AJ219">
        <v>0</v>
      </c>
      <c r="AK219">
        <v>8</v>
      </c>
      <c r="AL219" t="s">
        <v>221</v>
      </c>
      <c r="AM219" t="s">
        <v>222</v>
      </c>
      <c r="AN219" t="s">
        <v>3639</v>
      </c>
      <c r="AO219" t="s">
        <v>3640</v>
      </c>
      <c r="AP219" t="s">
        <v>3641</v>
      </c>
      <c r="AQ219" t="s">
        <v>74</v>
      </c>
      <c r="AR219" t="s">
        <v>3642</v>
      </c>
      <c r="AS219" t="s">
        <v>3643</v>
      </c>
      <c r="AT219" t="s">
        <v>74</v>
      </c>
      <c r="AU219">
        <v>2007</v>
      </c>
      <c r="AV219">
        <v>53</v>
      </c>
      <c r="AW219">
        <v>180</v>
      </c>
      <c r="AX219" t="s">
        <v>74</v>
      </c>
      <c r="AY219" t="s">
        <v>74</v>
      </c>
      <c r="AZ219" t="s">
        <v>74</v>
      </c>
      <c r="BA219" t="s">
        <v>74</v>
      </c>
      <c r="BB219">
        <v>63</v>
      </c>
      <c r="BC219">
        <v>70</v>
      </c>
      <c r="BD219" t="s">
        <v>74</v>
      </c>
      <c r="BE219" t="s">
        <v>3644</v>
      </c>
      <c r="BF219" t="str">
        <f>HYPERLINK("http://dx.doi.org/10.3189/172756507781833875","http://dx.doi.org/10.3189/172756507781833875")</f>
        <v>http://dx.doi.org/10.3189/172756507781833875</v>
      </c>
      <c r="BG219" t="s">
        <v>74</v>
      </c>
      <c r="BH219" t="s">
        <v>74</v>
      </c>
      <c r="BI219">
        <v>8</v>
      </c>
      <c r="BJ219" t="s">
        <v>663</v>
      </c>
      <c r="BK219" t="s">
        <v>97</v>
      </c>
      <c r="BL219" t="s">
        <v>664</v>
      </c>
      <c r="BM219" t="s">
        <v>3645</v>
      </c>
      <c r="BN219" t="s">
        <v>74</v>
      </c>
      <c r="BO219" t="s">
        <v>124</v>
      </c>
      <c r="BP219" t="s">
        <v>74</v>
      </c>
      <c r="BQ219" t="s">
        <v>74</v>
      </c>
      <c r="BR219" t="s">
        <v>100</v>
      </c>
      <c r="BS219" t="s">
        <v>3646</v>
      </c>
      <c r="BT219" t="str">
        <f>HYPERLINK("https%3A%2F%2Fwww.webofscience.com%2Fwos%2Fwoscc%2Ffull-record%2FWOS:000246007900005","View Full Record in Web of Science")</f>
        <v>View Full Record in Web of Science</v>
      </c>
    </row>
    <row r="220" spans="1:72" x14ac:dyDescent="0.15">
      <c r="A220" t="s">
        <v>72</v>
      </c>
      <c r="B220" t="s">
        <v>3647</v>
      </c>
      <c r="C220" t="s">
        <v>74</v>
      </c>
      <c r="D220" t="s">
        <v>74</v>
      </c>
      <c r="E220" t="s">
        <v>74</v>
      </c>
      <c r="F220" t="s">
        <v>3648</v>
      </c>
      <c r="G220" t="s">
        <v>74</v>
      </c>
      <c r="H220" t="s">
        <v>74</v>
      </c>
      <c r="I220" t="s">
        <v>3649</v>
      </c>
      <c r="J220" t="s">
        <v>3630</v>
      </c>
      <c r="K220" t="s">
        <v>74</v>
      </c>
      <c r="L220" t="s">
        <v>74</v>
      </c>
      <c r="M220" t="s">
        <v>78</v>
      </c>
      <c r="N220" t="s">
        <v>2139</v>
      </c>
      <c r="O220" t="s">
        <v>74</v>
      </c>
      <c r="P220" t="s">
        <v>74</v>
      </c>
      <c r="Q220" t="s">
        <v>74</v>
      </c>
      <c r="R220" t="s">
        <v>74</v>
      </c>
      <c r="S220" t="s">
        <v>74</v>
      </c>
      <c r="T220" t="s">
        <v>74</v>
      </c>
      <c r="U220" t="s">
        <v>3650</v>
      </c>
      <c r="V220" t="s">
        <v>74</v>
      </c>
      <c r="W220" t="s">
        <v>3651</v>
      </c>
      <c r="X220" t="s">
        <v>3652</v>
      </c>
      <c r="Y220" t="s">
        <v>3653</v>
      </c>
      <c r="Z220" t="s">
        <v>3654</v>
      </c>
      <c r="AA220" t="s">
        <v>3655</v>
      </c>
      <c r="AB220" t="s">
        <v>3656</v>
      </c>
      <c r="AC220" t="s">
        <v>74</v>
      </c>
      <c r="AD220" t="s">
        <v>74</v>
      </c>
      <c r="AE220" t="s">
        <v>74</v>
      </c>
      <c r="AF220" t="s">
        <v>74</v>
      </c>
      <c r="AG220">
        <v>17</v>
      </c>
      <c r="AH220">
        <v>21</v>
      </c>
      <c r="AI220">
        <v>34</v>
      </c>
      <c r="AJ220">
        <v>1</v>
      </c>
      <c r="AK220">
        <v>9</v>
      </c>
      <c r="AL220" t="s">
        <v>221</v>
      </c>
      <c r="AM220" t="s">
        <v>222</v>
      </c>
      <c r="AN220" t="s">
        <v>3639</v>
      </c>
      <c r="AO220" t="s">
        <v>3640</v>
      </c>
      <c r="AP220" t="s">
        <v>3641</v>
      </c>
      <c r="AQ220" t="s">
        <v>74</v>
      </c>
      <c r="AR220" t="s">
        <v>3642</v>
      </c>
      <c r="AS220" t="s">
        <v>3643</v>
      </c>
      <c r="AT220" t="s">
        <v>74</v>
      </c>
      <c r="AU220">
        <v>2007</v>
      </c>
      <c r="AV220">
        <v>53</v>
      </c>
      <c r="AW220">
        <v>180</v>
      </c>
      <c r="AX220" t="s">
        <v>74</v>
      </c>
      <c r="AY220" t="s">
        <v>74</v>
      </c>
      <c r="AZ220" t="s">
        <v>74</v>
      </c>
      <c r="BA220" t="s">
        <v>74</v>
      </c>
      <c r="BB220">
        <v>159</v>
      </c>
      <c r="BC220">
        <v>160</v>
      </c>
      <c r="BD220" t="s">
        <v>74</v>
      </c>
      <c r="BE220" t="s">
        <v>3657</v>
      </c>
      <c r="BF220" t="str">
        <f>HYPERLINK("http://dx.doi.org/10.3189/172756507781833965","http://dx.doi.org/10.3189/172756507781833965")</f>
        <v>http://dx.doi.org/10.3189/172756507781833965</v>
      </c>
      <c r="BG220" t="s">
        <v>74</v>
      </c>
      <c r="BH220" t="s">
        <v>74</v>
      </c>
      <c r="BI220">
        <v>2</v>
      </c>
      <c r="BJ220" t="s">
        <v>663</v>
      </c>
      <c r="BK220" t="s">
        <v>97</v>
      </c>
      <c r="BL220" t="s">
        <v>664</v>
      </c>
      <c r="BM220" t="s">
        <v>3645</v>
      </c>
      <c r="BN220" t="s">
        <v>74</v>
      </c>
      <c r="BO220" t="s">
        <v>124</v>
      </c>
      <c r="BP220" t="s">
        <v>74</v>
      </c>
      <c r="BQ220" t="s">
        <v>74</v>
      </c>
      <c r="BR220" t="s">
        <v>100</v>
      </c>
      <c r="BS220" t="s">
        <v>3658</v>
      </c>
      <c r="BT220" t="str">
        <f>HYPERLINK("https%3A%2F%2Fwww.webofscience.com%2Fwos%2Fwoscc%2Ffull-record%2FWOS:000246007900016","View Full Record in Web of Science")</f>
        <v>View Full Record in Web of Science</v>
      </c>
    </row>
    <row r="221" spans="1:72" x14ac:dyDescent="0.15">
      <c r="A221" t="s">
        <v>72</v>
      </c>
      <c r="B221" t="s">
        <v>3659</v>
      </c>
      <c r="C221" t="s">
        <v>74</v>
      </c>
      <c r="D221" t="s">
        <v>74</v>
      </c>
      <c r="E221" t="s">
        <v>74</v>
      </c>
      <c r="F221" t="s">
        <v>3660</v>
      </c>
      <c r="G221" t="s">
        <v>74</v>
      </c>
      <c r="H221" t="s">
        <v>74</v>
      </c>
      <c r="I221" t="s">
        <v>3661</v>
      </c>
      <c r="J221" t="s">
        <v>3630</v>
      </c>
      <c r="K221" t="s">
        <v>74</v>
      </c>
      <c r="L221" t="s">
        <v>74</v>
      </c>
      <c r="M221" t="s">
        <v>78</v>
      </c>
      <c r="N221" t="s">
        <v>79</v>
      </c>
      <c r="O221" t="s">
        <v>74</v>
      </c>
      <c r="P221" t="s">
        <v>74</v>
      </c>
      <c r="Q221" t="s">
        <v>74</v>
      </c>
      <c r="R221" t="s">
        <v>74</v>
      </c>
      <c r="S221" t="s">
        <v>74</v>
      </c>
      <c r="T221" t="s">
        <v>74</v>
      </c>
      <c r="U221" t="s">
        <v>3662</v>
      </c>
      <c r="V221" t="s">
        <v>3663</v>
      </c>
      <c r="W221" t="s">
        <v>3664</v>
      </c>
      <c r="X221" t="s">
        <v>3665</v>
      </c>
      <c r="Y221" t="s">
        <v>3666</v>
      </c>
      <c r="Z221" t="s">
        <v>3667</v>
      </c>
      <c r="AA221" t="s">
        <v>74</v>
      </c>
      <c r="AB221" t="s">
        <v>74</v>
      </c>
      <c r="AC221" t="s">
        <v>74</v>
      </c>
      <c r="AD221" t="s">
        <v>74</v>
      </c>
      <c r="AE221" t="s">
        <v>74</v>
      </c>
      <c r="AF221" t="s">
        <v>74</v>
      </c>
      <c r="AG221">
        <v>44</v>
      </c>
      <c r="AH221">
        <v>102</v>
      </c>
      <c r="AI221">
        <v>116</v>
      </c>
      <c r="AJ221">
        <v>1</v>
      </c>
      <c r="AK221">
        <v>18</v>
      </c>
      <c r="AL221" t="s">
        <v>3668</v>
      </c>
      <c r="AM221" t="s">
        <v>222</v>
      </c>
      <c r="AN221" t="s">
        <v>3669</v>
      </c>
      <c r="AO221" t="s">
        <v>3640</v>
      </c>
      <c r="AP221" t="s">
        <v>74</v>
      </c>
      <c r="AQ221" t="s">
        <v>74</v>
      </c>
      <c r="AR221" t="s">
        <v>3642</v>
      </c>
      <c r="AS221" t="s">
        <v>3643</v>
      </c>
      <c r="AT221" t="s">
        <v>74</v>
      </c>
      <c r="AU221">
        <v>2007</v>
      </c>
      <c r="AV221">
        <v>53</v>
      </c>
      <c r="AW221">
        <v>181</v>
      </c>
      <c r="AX221" t="s">
        <v>74</v>
      </c>
      <c r="AY221" t="s">
        <v>74</v>
      </c>
      <c r="AZ221" t="s">
        <v>74</v>
      </c>
      <c r="BA221" t="s">
        <v>74</v>
      </c>
      <c r="BB221">
        <v>201</v>
      </c>
      <c r="BC221">
        <v>210</v>
      </c>
      <c r="BD221" t="s">
        <v>74</v>
      </c>
      <c r="BE221" t="s">
        <v>3670</v>
      </c>
      <c r="BF221" t="str">
        <f>HYPERLINK("http://dx.doi.org/10.3189/172756507782202919","http://dx.doi.org/10.3189/172756507782202919")</f>
        <v>http://dx.doi.org/10.3189/172756507782202919</v>
      </c>
      <c r="BG221" t="s">
        <v>74</v>
      </c>
      <c r="BH221" t="s">
        <v>74</v>
      </c>
      <c r="BI221">
        <v>10</v>
      </c>
      <c r="BJ221" t="s">
        <v>663</v>
      </c>
      <c r="BK221" t="s">
        <v>97</v>
      </c>
      <c r="BL221" t="s">
        <v>664</v>
      </c>
      <c r="BM221" t="s">
        <v>3671</v>
      </c>
      <c r="BN221" t="s">
        <v>74</v>
      </c>
      <c r="BO221" t="s">
        <v>124</v>
      </c>
      <c r="BP221" t="s">
        <v>74</v>
      </c>
      <c r="BQ221" t="s">
        <v>74</v>
      </c>
      <c r="BR221" t="s">
        <v>100</v>
      </c>
      <c r="BS221" t="s">
        <v>3672</v>
      </c>
      <c r="BT221" t="str">
        <f>HYPERLINK("https%3A%2F%2Fwww.webofscience.com%2Fwos%2Fwoscc%2Ffull-record%2FWOS:000248073500005","View Full Record in Web of Science")</f>
        <v>View Full Record in Web of Science</v>
      </c>
    </row>
    <row r="222" spans="1:72" x14ac:dyDescent="0.15">
      <c r="A222" t="s">
        <v>72</v>
      </c>
      <c r="B222" t="s">
        <v>3673</v>
      </c>
      <c r="C222" t="s">
        <v>74</v>
      </c>
      <c r="D222" t="s">
        <v>74</v>
      </c>
      <c r="E222" t="s">
        <v>74</v>
      </c>
      <c r="F222" t="s">
        <v>3674</v>
      </c>
      <c r="G222" t="s">
        <v>74</v>
      </c>
      <c r="H222" t="s">
        <v>74</v>
      </c>
      <c r="I222" t="s">
        <v>3675</v>
      </c>
      <c r="J222" t="s">
        <v>3630</v>
      </c>
      <c r="K222" t="s">
        <v>74</v>
      </c>
      <c r="L222" t="s">
        <v>74</v>
      </c>
      <c r="M222" t="s">
        <v>78</v>
      </c>
      <c r="N222" t="s">
        <v>79</v>
      </c>
      <c r="O222" t="s">
        <v>74</v>
      </c>
      <c r="P222" t="s">
        <v>74</v>
      </c>
      <c r="Q222" t="s">
        <v>74</v>
      </c>
      <c r="R222" t="s">
        <v>74</v>
      </c>
      <c r="S222" t="s">
        <v>74</v>
      </c>
      <c r="T222" t="s">
        <v>74</v>
      </c>
      <c r="U222" t="s">
        <v>3676</v>
      </c>
      <c r="V222" t="s">
        <v>3677</v>
      </c>
      <c r="W222" t="s">
        <v>3678</v>
      </c>
      <c r="X222" t="s">
        <v>3679</v>
      </c>
      <c r="Y222" t="s">
        <v>3680</v>
      </c>
      <c r="Z222" t="s">
        <v>3681</v>
      </c>
      <c r="AA222" t="s">
        <v>74</v>
      </c>
      <c r="AB222" t="s">
        <v>74</v>
      </c>
      <c r="AC222" t="s">
        <v>74</v>
      </c>
      <c r="AD222" t="s">
        <v>74</v>
      </c>
      <c r="AE222" t="s">
        <v>74</v>
      </c>
      <c r="AF222" t="s">
        <v>74</v>
      </c>
      <c r="AG222">
        <v>34</v>
      </c>
      <c r="AH222">
        <v>5</v>
      </c>
      <c r="AI222">
        <v>5</v>
      </c>
      <c r="AJ222">
        <v>0</v>
      </c>
      <c r="AK222">
        <v>3</v>
      </c>
      <c r="AL222" t="s">
        <v>221</v>
      </c>
      <c r="AM222" t="s">
        <v>222</v>
      </c>
      <c r="AN222" t="s">
        <v>3639</v>
      </c>
      <c r="AO222" t="s">
        <v>3640</v>
      </c>
      <c r="AP222" t="s">
        <v>3641</v>
      </c>
      <c r="AQ222" t="s">
        <v>74</v>
      </c>
      <c r="AR222" t="s">
        <v>3642</v>
      </c>
      <c r="AS222" t="s">
        <v>3643</v>
      </c>
      <c r="AT222" t="s">
        <v>74</v>
      </c>
      <c r="AU222">
        <v>2007</v>
      </c>
      <c r="AV222">
        <v>53</v>
      </c>
      <c r="AW222">
        <v>181</v>
      </c>
      <c r="AX222" t="s">
        <v>74</v>
      </c>
      <c r="AY222" t="s">
        <v>74</v>
      </c>
      <c r="AZ222" t="s">
        <v>74</v>
      </c>
      <c r="BA222" t="s">
        <v>74</v>
      </c>
      <c r="BB222">
        <v>225</v>
      </c>
      <c r="BC222">
        <v>231</v>
      </c>
      <c r="BD222" t="s">
        <v>74</v>
      </c>
      <c r="BE222" t="s">
        <v>3682</v>
      </c>
      <c r="BF222" t="str">
        <f>HYPERLINK("http://dx.doi.org/10.3189/172756507782202775","http://dx.doi.org/10.3189/172756507782202775")</f>
        <v>http://dx.doi.org/10.3189/172756507782202775</v>
      </c>
      <c r="BG222" t="s">
        <v>74</v>
      </c>
      <c r="BH222" t="s">
        <v>74</v>
      </c>
      <c r="BI222">
        <v>7</v>
      </c>
      <c r="BJ222" t="s">
        <v>663</v>
      </c>
      <c r="BK222" t="s">
        <v>97</v>
      </c>
      <c r="BL222" t="s">
        <v>664</v>
      </c>
      <c r="BM222" t="s">
        <v>3671</v>
      </c>
      <c r="BN222" t="s">
        <v>74</v>
      </c>
      <c r="BO222" t="s">
        <v>124</v>
      </c>
      <c r="BP222" t="s">
        <v>74</v>
      </c>
      <c r="BQ222" t="s">
        <v>74</v>
      </c>
      <c r="BR222" t="s">
        <v>100</v>
      </c>
      <c r="BS222" t="s">
        <v>3683</v>
      </c>
      <c r="BT222" t="str">
        <f>HYPERLINK("https%3A%2F%2Fwww.webofscience.com%2Fwos%2Fwoscc%2Ffull-record%2FWOS:000248073500007","View Full Record in Web of Science")</f>
        <v>View Full Record in Web of Science</v>
      </c>
    </row>
    <row r="223" spans="1:72" x14ac:dyDescent="0.15">
      <c r="A223" t="s">
        <v>72</v>
      </c>
      <c r="B223" t="s">
        <v>3684</v>
      </c>
      <c r="C223" t="s">
        <v>74</v>
      </c>
      <c r="D223" t="s">
        <v>74</v>
      </c>
      <c r="E223" t="s">
        <v>74</v>
      </c>
      <c r="F223" t="s">
        <v>3685</v>
      </c>
      <c r="G223" t="s">
        <v>74</v>
      </c>
      <c r="H223" t="s">
        <v>74</v>
      </c>
      <c r="I223" t="s">
        <v>3686</v>
      </c>
      <c r="J223" t="s">
        <v>3630</v>
      </c>
      <c r="K223" t="s">
        <v>74</v>
      </c>
      <c r="L223" t="s">
        <v>74</v>
      </c>
      <c r="M223" t="s">
        <v>78</v>
      </c>
      <c r="N223" t="s">
        <v>79</v>
      </c>
      <c r="O223" t="s">
        <v>74</v>
      </c>
      <c r="P223" t="s">
        <v>74</v>
      </c>
      <c r="Q223" t="s">
        <v>74</v>
      </c>
      <c r="R223" t="s">
        <v>74</v>
      </c>
      <c r="S223" t="s">
        <v>74</v>
      </c>
      <c r="T223" t="s">
        <v>74</v>
      </c>
      <c r="U223" t="s">
        <v>3687</v>
      </c>
      <c r="V223" t="s">
        <v>3688</v>
      </c>
      <c r="W223" t="s">
        <v>3689</v>
      </c>
      <c r="X223" t="s">
        <v>3690</v>
      </c>
      <c r="Y223" t="s">
        <v>3691</v>
      </c>
      <c r="Z223" t="s">
        <v>3692</v>
      </c>
      <c r="AA223" t="s">
        <v>74</v>
      </c>
      <c r="AB223" t="s">
        <v>74</v>
      </c>
      <c r="AC223" t="s">
        <v>74</v>
      </c>
      <c r="AD223" t="s">
        <v>74</v>
      </c>
      <c r="AE223" t="s">
        <v>74</v>
      </c>
      <c r="AF223" t="s">
        <v>74</v>
      </c>
      <c r="AG223">
        <v>11</v>
      </c>
      <c r="AH223">
        <v>3</v>
      </c>
      <c r="AI223">
        <v>4</v>
      </c>
      <c r="AJ223">
        <v>0</v>
      </c>
      <c r="AK223">
        <v>3</v>
      </c>
      <c r="AL223" t="s">
        <v>221</v>
      </c>
      <c r="AM223" t="s">
        <v>222</v>
      </c>
      <c r="AN223" t="s">
        <v>3639</v>
      </c>
      <c r="AO223" t="s">
        <v>3640</v>
      </c>
      <c r="AP223" t="s">
        <v>3641</v>
      </c>
      <c r="AQ223" t="s">
        <v>74</v>
      </c>
      <c r="AR223" t="s">
        <v>3642</v>
      </c>
      <c r="AS223" t="s">
        <v>3643</v>
      </c>
      <c r="AT223" t="s">
        <v>74</v>
      </c>
      <c r="AU223">
        <v>2007</v>
      </c>
      <c r="AV223">
        <v>53</v>
      </c>
      <c r="AW223">
        <v>181</v>
      </c>
      <c r="AX223" t="s">
        <v>74</v>
      </c>
      <c r="AY223" t="s">
        <v>74</v>
      </c>
      <c r="AZ223" t="s">
        <v>74</v>
      </c>
      <c r="BA223" t="s">
        <v>74</v>
      </c>
      <c r="BB223">
        <v>298</v>
      </c>
      <c r="BC223">
        <v>304</v>
      </c>
      <c r="BD223" t="s">
        <v>74</v>
      </c>
      <c r="BE223" t="s">
        <v>3693</v>
      </c>
      <c r="BF223" t="str">
        <f>HYPERLINK("http://dx.doi.org/10.3189/172756507782202892","http://dx.doi.org/10.3189/172756507782202892")</f>
        <v>http://dx.doi.org/10.3189/172756507782202892</v>
      </c>
      <c r="BG223" t="s">
        <v>74</v>
      </c>
      <c r="BH223" t="s">
        <v>74</v>
      </c>
      <c r="BI223">
        <v>7</v>
      </c>
      <c r="BJ223" t="s">
        <v>663</v>
      </c>
      <c r="BK223" t="s">
        <v>97</v>
      </c>
      <c r="BL223" t="s">
        <v>664</v>
      </c>
      <c r="BM223" t="s">
        <v>3671</v>
      </c>
      <c r="BN223" t="s">
        <v>74</v>
      </c>
      <c r="BO223" t="s">
        <v>124</v>
      </c>
      <c r="BP223" t="s">
        <v>74</v>
      </c>
      <c r="BQ223" t="s">
        <v>74</v>
      </c>
      <c r="BR223" t="s">
        <v>100</v>
      </c>
      <c r="BS223" t="s">
        <v>3694</v>
      </c>
      <c r="BT223" t="str">
        <f>HYPERLINK("https%3A%2F%2Fwww.webofscience.com%2Fwos%2Fwoscc%2Ffull-record%2FWOS:000248073500014","View Full Record in Web of Science")</f>
        <v>View Full Record in Web of Science</v>
      </c>
    </row>
    <row r="224" spans="1:72" x14ac:dyDescent="0.15">
      <c r="A224" t="s">
        <v>72</v>
      </c>
      <c r="B224" t="s">
        <v>3695</v>
      </c>
      <c r="C224" t="s">
        <v>74</v>
      </c>
      <c r="D224" t="s">
        <v>74</v>
      </c>
      <c r="E224" t="s">
        <v>74</v>
      </c>
      <c r="F224" t="s">
        <v>3696</v>
      </c>
      <c r="G224" t="s">
        <v>74</v>
      </c>
      <c r="H224" t="s">
        <v>74</v>
      </c>
      <c r="I224" t="s">
        <v>3697</v>
      </c>
      <c r="J224" t="s">
        <v>3630</v>
      </c>
      <c r="K224" t="s">
        <v>74</v>
      </c>
      <c r="L224" t="s">
        <v>74</v>
      </c>
      <c r="M224" t="s">
        <v>78</v>
      </c>
      <c r="N224" t="s">
        <v>79</v>
      </c>
      <c r="O224" t="s">
        <v>74</v>
      </c>
      <c r="P224" t="s">
        <v>74</v>
      </c>
      <c r="Q224" t="s">
        <v>74</v>
      </c>
      <c r="R224" t="s">
        <v>74</v>
      </c>
      <c r="S224" t="s">
        <v>74</v>
      </c>
      <c r="T224" t="s">
        <v>74</v>
      </c>
      <c r="U224" t="s">
        <v>3698</v>
      </c>
      <c r="V224" t="s">
        <v>3699</v>
      </c>
      <c r="W224" t="s">
        <v>3700</v>
      </c>
      <c r="X224" t="s">
        <v>3701</v>
      </c>
      <c r="Y224" t="s">
        <v>3702</v>
      </c>
      <c r="Z224" t="s">
        <v>3703</v>
      </c>
      <c r="AA224" t="s">
        <v>3704</v>
      </c>
      <c r="AB224" t="s">
        <v>3705</v>
      </c>
      <c r="AC224" t="s">
        <v>74</v>
      </c>
      <c r="AD224" t="s">
        <v>74</v>
      </c>
      <c r="AE224" t="s">
        <v>74</v>
      </c>
      <c r="AF224" t="s">
        <v>74</v>
      </c>
      <c r="AG224">
        <v>81</v>
      </c>
      <c r="AH224">
        <v>54</v>
      </c>
      <c r="AI224">
        <v>67</v>
      </c>
      <c r="AJ224">
        <v>1</v>
      </c>
      <c r="AK224">
        <v>16</v>
      </c>
      <c r="AL224" t="s">
        <v>221</v>
      </c>
      <c r="AM224" t="s">
        <v>222</v>
      </c>
      <c r="AN224" t="s">
        <v>3639</v>
      </c>
      <c r="AO224" t="s">
        <v>3640</v>
      </c>
      <c r="AP224" t="s">
        <v>3641</v>
      </c>
      <c r="AQ224" t="s">
        <v>74</v>
      </c>
      <c r="AR224" t="s">
        <v>3642</v>
      </c>
      <c r="AS224" t="s">
        <v>3643</v>
      </c>
      <c r="AT224" t="s">
        <v>74</v>
      </c>
      <c r="AU224">
        <v>2007</v>
      </c>
      <c r="AV224">
        <v>53</v>
      </c>
      <c r="AW224">
        <v>182</v>
      </c>
      <c r="AX224" t="s">
        <v>74</v>
      </c>
      <c r="AY224" t="s">
        <v>74</v>
      </c>
      <c r="AZ224" t="s">
        <v>74</v>
      </c>
      <c r="BA224" t="s">
        <v>74</v>
      </c>
      <c r="BB224">
        <v>323</v>
      </c>
      <c r="BC224">
        <v>340</v>
      </c>
      <c r="BD224" t="s">
        <v>74</v>
      </c>
      <c r="BE224" t="s">
        <v>3706</v>
      </c>
      <c r="BF224" t="str">
        <f>HYPERLINK("http://dx.doi.org/10.3189/002214307783258431","http://dx.doi.org/10.3189/002214307783258431")</f>
        <v>http://dx.doi.org/10.3189/002214307783258431</v>
      </c>
      <c r="BG224" t="s">
        <v>74</v>
      </c>
      <c r="BH224" t="s">
        <v>74</v>
      </c>
      <c r="BI224">
        <v>18</v>
      </c>
      <c r="BJ224" t="s">
        <v>663</v>
      </c>
      <c r="BK224" t="s">
        <v>97</v>
      </c>
      <c r="BL224" t="s">
        <v>664</v>
      </c>
      <c r="BM224" t="s">
        <v>3707</v>
      </c>
      <c r="BN224" t="s">
        <v>74</v>
      </c>
      <c r="BO224" t="s">
        <v>3708</v>
      </c>
      <c r="BP224" t="s">
        <v>74</v>
      </c>
      <c r="BQ224" t="s">
        <v>74</v>
      </c>
      <c r="BR224" t="s">
        <v>100</v>
      </c>
      <c r="BS224" t="s">
        <v>3709</v>
      </c>
      <c r="BT224" t="str">
        <f>HYPERLINK("https%3A%2F%2Fwww.webofscience.com%2Fwos%2Fwoscc%2Ffull-record%2FWOS:000251119800001","View Full Record in Web of Science")</f>
        <v>View Full Record in Web of Science</v>
      </c>
    </row>
    <row r="225" spans="1:72" x14ac:dyDescent="0.15">
      <c r="A225" t="s">
        <v>72</v>
      </c>
      <c r="B225" t="s">
        <v>3710</v>
      </c>
      <c r="C225" t="s">
        <v>74</v>
      </c>
      <c r="D225" t="s">
        <v>74</v>
      </c>
      <c r="E225" t="s">
        <v>74</v>
      </c>
      <c r="F225" t="s">
        <v>3711</v>
      </c>
      <c r="G225" t="s">
        <v>74</v>
      </c>
      <c r="H225" t="s">
        <v>74</v>
      </c>
      <c r="I225" t="s">
        <v>3712</v>
      </c>
      <c r="J225" t="s">
        <v>3630</v>
      </c>
      <c r="K225" t="s">
        <v>74</v>
      </c>
      <c r="L225" t="s">
        <v>74</v>
      </c>
      <c r="M225" t="s">
        <v>78</v>
      </c>
      <c r="N225" t="s">
        <v>79</v>
      </c>
      <c r="O225" t="s">
        <v>74</v>
      </c>
      <c r="P225" t="s">
        <v>74</v>
      </c>
      <c r="Q225" t="s">
        <v>74</v>
      </c>
      <c r="R225" t="s">
        <v>74</v>
      </c>
      <c r="S225" t="s">
        <v>74</v>
      </c>
      <c r="T225" t="s">
        <v>74</v>
      </c>
      <c r="U225" t="s">
        <v>3713</v>
      </c>
      <c r="V225" t="s">
        <v>3714</v>
      </c>
      <c r="W225" t="s">
        <v>3715</v>
      </c>
      <c r="X225" t="s">
        <v>3716</v>
      </c>
      <c r="Y225" t="s">
        <v>3717</v>
      </c>
      <c r="Z225" t="s">
        <v>3718</v>
      </c>
      <c r="AA225" t="s">
        <v>74</v>
      </c>
      <c r="AB225" t="s">
        <v>74</v>
      </c>
      <c r="AC225" t="s">
        <v>74</v>
      </c>
      <c r="AD225" t="s">
        <v>74</v>
      </c>
      <c r="AE225" t="s">
        <v>74</v>
      </c>
      <c r="AF225" t="s">
        <v>74</v>
      </c>
      <c r="AG225">
        <v>42</v>
      </c>
      <c r="AH225">
        <v>37</v>
      </c>
      <c r="AI225">
        <v>38</v>
      </c>
      <c r="AJ225">
        <v>0</v>
      </c>
      <c r="AK225">
        <v>6</v>
      </c>
      <c r="AL225" t="s">
        <v>221</v>
      </c>
      <c r="AM225" t="s">
        <v>222</v>
      </c>
      <c r="AN225" t="s">
        <v>3639</v>
      </c>
      <c r="AO225" t="s">
        <v>3640</v>
      </c>
      <c r="AP225" t="s">
        <v>3641</v>
      </c>
      <c r="AQ225" t="s">
        <v>74</v>
      </c>
      <c r="AR225" t="s">
        <v>3642</v>
      </c>
      <c r="AS225" t="s">
        <v>3643</v>
      </c>
      <c r="AT225" t="s">
        <v>74</v>
      </c>
      <c r="AU225">
        <v>2007</v>
      </c>
      <c r="AV225">
        <v>53</v>
      </c>
      <c r="AW225">
        <v>182</v>
      </c>
      <c r="AX225" t="s">
        <v>74</v>
      </c>
      <c r="AY225" t="s">
        <v>74</v>
      </c>
      <c r="AZ225" t="s">
        <v>74</v>
      </c>
      <c r="BA225" t="s">
        <v>74</v>
      </c>
      <c r="BB225">
        <v>341</v>
      </c>
      <c r="BC225">
        <v>356</v>
      </c>
      <c r="BD225" t="s">
        <v>74</v>
      </c>
      <c r="BE225" t="s">
        <v>3719</v>
      </c>
      <c r="BF225" t="str">
        <f>HYPERLINK("http://dx.doi.org/10.3189/002214307783258521","http://dx.doi.org/10.3189/002214307783258521")</f>
        <v>http://dx.doi.org/10.3189/002214307783258521</v>
      </c>
      <c r="BG225" t="s">
        <v>74</v>
      </c>
      <c r="BH225" t="s">
        <v>74</v>
      </c>
      <c r="BI225">
        <v>16</v>
      </c>
      <c r="BJ225" t="s">
        <v>663</v>
      </c>
      <c r="BK225" t="s">
        <v>97</v>
      </c>
      <c r="BL225" t="s">
        <v>664</v>
      </c>
      <c r="BM225" t="s">
        <v>3707</v>
      </c>
      <c r="BN225" t="s">
        <v>74</v>
      </c>
      <c r="BO225" t="s">
        <v>124</v>
      </c>
      <c r="BP225" t="s">
        <v>74</v>
      </c>
      <c r="BQ225" t="s">
        <v>74</v>
      </c>
      <c r="BR225" t="s">
        <v>100</v>
      </c>
      <c r="BS225" t="s">
        <v>3720</v>
      </c>
      <c r="BT225" t="str">
        <f>HYPERLINK("https%3A%2F%2Fwww.webofscience.com%2Fwos%2Fwoscc%2Ffull-record%2FWOS:000251119800002","View Full Record in Web of Science")</f>
        <v>View Full Record in Web of Science</v>
      </c>
    </row>
    <row r="226" spans="1:72" x14ac:dyDescent="0.15">
      <c r="A226" t="s">
        <v>72</v>
      </c>
      <c r="B226" t="s">
        <v>3721</v>
      </c>
      <c r="C226" t="s">
        <v>74</v>
      </c>
      <c r="D226" t="s">
        <v>74</v>
      </c>
      <c r="E226" t="s">
        <v>74</v>
      </c>
      <c r="F226" t="s">
        <v>3722</v>
      </c>
      <c r="G226" t="s">
        <v>74</v>
      </c>
      <c r="H226" t="s">
        <v>74</v>
      </c>
      <c r="I226" t="s">
        <v>3723</v>
      </c>
      <c r="J226" t="s">
        <v>3630</v>
      </c>
      <c r="K226" t="s">
        <v>74</v>
      </c>
      <c r="L226" t="s">
        <v>74</v>
      </c>
      <c r="M226" t="s">
        <v>78</v>
      </c>
      <c r="N226" t="s">
        <v>79</v>
      </c>
      <c r="O226" t="s">
        <v>74</v>
      </c>
      <c r="P226" t="s">
        <v>74</v>
      </c>
      <c r="Q226" t="s">
        <v>74</v>
      </c>
      <c r="R226" t="s">
        <v>74</v>
      </c>
      <c r="S226" t="s">
        <v>74</v>
      </c>
      <c r="T226" t="s">
        <v>74</v>
      </c>
      <c r="U226" t="s">
        <v>3724</v>
      </c>
      <c r="V226" t="s">
        <v>3725</v>
      </c>
      <c r="W226" t="s">
        <v>3726</v>
      </c>
      <c r="X226" t="s">
        <v>3727</v>
      </c>
      <c r="Y226" t="s">
        <v>3728</v>
      </c>
      <c r="Z226" t="s">
        <v>3729</v>
      </c>
      <c r="AA226" t="s">
        <v>74</v>
      </c>
      <c r="AB226" t="s">
        <v>74</v>
      </c>
      <c r="AC226" t="s">
        <v>74</v>
      </c>
      <c r="AD226" t="s">
        <v>74</v>
      </c>
      <c r="AE226" t="s">
        <v>74</v>
      </c>
      <c r="AF226" t="s">
        <v>74</v>
      </c>
      <c r="AG226">
        <v>38</v>
      </c>
      <c r="AH226">
        <v>17</v>
      </c>
      <c r="AI226">
        <v>17</v>
      </c>
      <c r="AJ226">
        <v>0</v>
      </c>
      <c r="AK226">
        <v>15</v>
      </c>
      <c r="AL226" t="s">
        <v>221</v>
      </c>
      <c r="AM226" t="s">
        <v>222</v>
      </c>
      <c r="AN226" t="s">
        <v>3639</v>
      </c>
      <c r="AO226" t="s">
        <v>3640</v>
      </c>
      <c r="AP226" t="s">
        <v>3641</v>
      </c>
      <c r="AQ226" t="s">
        <v>74</v>
      </c>
      <c r="AR226" t="s">
        <v>3642</v>
      </c>
      <c r="AS226" t="s">
        <v>3643</v>
      </c>
      <c r="AT226" t="s">
        <v>74</v>
      </c>
      <c r="AU226">
        <v>2007</v>
      </c>
      <c r="AV226">
        <v>53</v>
      </c>
      <c r="AW226">
        <v>182</v>
      </c>
      <c r="AX226" t="s">
        <v>74</v>
      </c>
      <c r="AY226" t="s">
        <v>74</v>
      </c>
      <c r="AZ226" t="s">
        <v>74</v>
      </c>
      <c r="BA226" t="s">
        <v>74</v>
      </c>
      <c r="BB226">
        <v>368</v>
      </c>
      <c r="BC226">
        <v>373</v>
      </c>
      <c r="BD226" t="s">
        <v>74</v>
      </c>
      <c r="BE226" t="s">
        <v>74</v>
      </c>
      <c r="BF226" t="s">
        <v>74</v>
      </c>
      <c r="BG226" t="s">
        <v>74</v>
      </c>
      <c r="BH226" t="s">
        <v>74</v>
      </c>
      <c r="BI226">
        <v>6</v>
      </c>
      <c r="BJ226" t="s">
        <v>663</v>
      </c>
      <c r="BK226" t="s">
        <v>97</v>
      </c>
      <c r="BL226" t="s">
        <v>664</v>
      </c>
      <c r="BM226" t="s">
        <v>3707</v>
      </c>
      <c r="BN226" t="s">
        <v>74</v>
      </c>
      <c r="BO226" t="s">
        <v>74</v>
      </c>
      <c r="BP226" t="s">
        <v>74</v>
      </c>
      <c r="BQ226" t="s">
        <v>74</v>
      </c>
      <c r="BR226" t="s">
        <v>100</v>
      </c>
      <c r="BS226" t="s">
        <v>3730</v>
      </c>
      <c r="BT226" t="str">
        <f>HYPERLINK("https%3A%2F%2Fwww.webofscience.com%2Fwos%2Fwoscc%2Ffull-record%2FWOS:000251119800005","View Full Record in Web of Science")</f>
        <v>View Full Record in Web of Science</v>
      </c>
    </row>
    <row r="227" spans="1:72" x14ac:dyDescent="0.15">
      <c r="A227" t="s">
        <v>72</v>
      </c>
      <c r="B227" t="s">
        <v>3731</v>
      </c>
      <c r="C227" t="s">
        <v>74</v>
      </c>
      <c r="D227" t="s">
        <v>74</v>
      </c>
      <c r="E227" t="s">
        <v>74</v>
      </c>
      <c r="F227" t="s">
        <v>3732</v>
      </c>
      <c r="G227" t="s">
        <v>74</v>
      </c>
      <c r="H227" t="s">
        <v>74</v>
      </c>
      <c r="I227" t="s">
        <v>3733</v>
      </c>
      <c r="J227" t="s">
        <v>3630</v>
      </c>
      <c r="K227" t="s">
        <v>74</v>
      </c>
      <c r="L227" t="s">
        <v>74</v>
      </c>
      <c r="M227" t="s">
        <v>78</v>
      </c>
      <c r="N227" t="s">
        <v>79</v>
      </c>
      <c r="O227" t="s">
        <v>74</v>
      </c>
      <c r="P227" t="s">
        <v>74</v>
      </c>
      <c r="Q227" t="s">
        <v>74</v>
      </c>
      <c r="R227" t="s">
        <v>74</v>
      </c>
      <c r="S227" t="s">
        <v>74</v>
      </c>
      <c r="T227" t="s">
        <v>74</v>
      </c>
      <c r="U227" t="s">
        <v>3734</v>
      </c>
      <c r="V227" t="s">
        <v>3735</v>
      </c>
      <c r="W227" t="s">
        <v>3736</v>
      </c>
      <c r="X227" t="s">
        <v>3737</v>
      </c>
      <c r="Y227" t="s">
        <v>3738</v>
      </c>
      <c r="Z227" t="s">
        <v>3739</v>
      </c>
      <c r="AA227" t="s">
        <v>3740</v>
      </c>
      <c r="AB227" t="s">
        <v>3741</v>
      </c>
      <c r="AC227" t="s">
        <v>3742</v>
      </c>
      <c r="AD227" t="s">
        <v>1254</v>
      </c>
      <c r="AE227" t="s">
        <v>74</v>
      </c>
      <c r="AF227" t="s">
        <v>74</v>
      </c>
      <c r="AG227">
        <v>57</v>
      </c>
      <c r="AH227">
        <v>41</v>
      </c>
      <c r="AI227">
        <v>41</v>
      </c>
      <c r="AJ227">
        <v>1</v>
      </c>
      <c r="AK227">
        <v>5</v>
      </c>
      <c r="AL227" t="s">
        <v>3668</v>
      </c>
      <c r="AM227" t="s">
        <v>222</v>
      </c>
      <c r="AN227" t="s">
        <v>3669</v>
      </c>
      <c r="AO227" t="s">
        <v>3640</v>
      </c>
      <c r="AP227" t="s">
        <v>74</v>
      </c>
      <c r="AQ227" t="s">
        <v>74</v>
      </c>
      <c r="AR227" t="s">
        <v>3642</v>
      </c>
      <c r="AS227" t="s">
        <v>3643</v>
      </c>
      <c r="AT227" t="s">
        <v>74</v>
      </c>
      <c r="AU227">
        <v>2007</v>
      </c>
      <c r="AV227">
        <v>53</v>
      </c>
      <c r="AW227">
        <v>182</v>
      </c>
      <c r="AX227" t="s">
        <v>74</v>
      </c>
      <c r="AY227" t="s">
        <v>74</v>
      </c>
      <c r="AZ227" t="s">
        <v>74</v>
      </c>
      <c r="BA227" t="s">
        <v>74</v>
      </c>
      <c r="BB227">
        <v>385</v>
      </c>
      <c r="BC227">
        <v>398</v>
      </c>
      <c r="BD227" t="s">
        <v>74</v>
      </c>
      <c r="BE227" t="s">
        <v>3743</v>
      </c>
      <c r="BF227" t="str">
        <f>HYPERLINK("http://dx.doi.org/10.3189/002214307783258459","http://dx.doi.org/10.3189/002214307783258459")</f>
        <v>http://dx.doi.org/10.3189/002214307783258459</v>
      </c>
      <c r="BG227" t="s">
        <v>74</v>
      </c>
      <c r="BH227" t="s">
        <v>74</v>
      </c>
      <c r="BI227">
        <v>14</v>
      </c>
      <c r="BJ227" t="s">
        <v>663</v>
      </c>
      <c r="BK227" t="s">
        <v>97</v>
      </c>
      <c r="BL227" t="s">
        <v>664</v>
      </c>
      <c r="BM227" t="s">
        <v>3707</v>
      </c>
      <c r="BN227" t="s">
        <v>74</v>
      </c>
      <c r="BO227" t="s">
        <v>3708</v>
      </c>
      <c r="BP227" t="s">
        <v>74</v>
      </c>
      <c r="BQ227" t="s">
        <v>74</v>
      </c>
      <c r="BR227" t="s">
        <v>100</v>
      </c>
      <c r="BS227" t="s">
        <v>3744</v>
      </c>
      <c r="BT227" t="str">
        <f>HYPERLINK("https%3A%2F%2Fwww.webofscience.com%2Fwos%2Fwoscc%2Ffull-record%2FWOS:000251119800007","View Full Record in Web of Science")</f>
        <v>View Full Record in Web of Science</v>
      </c>
    </row>
    <row r="228" spans="1:72" x14ac:dyDescent="0.15">
      <c r="A228" t="s">
        <v>72</v>
      </c>
      <c r="B228" t="s">
        <v>3745</v>
      </c>
      <c r="C228" t="s">
        <v>74</v>
      </c>
      <c r="D228" t="s">
        <v>74</v>
      </c>
      <c r="E228" t="s">
        <v>74</v>
      </c>
      <c r="F228" t="s">
        <v>3746</v>
      </c>
      <c r="G228" t="s">
        <v>74</v>
      </c>
      <c r="H228" t="s">
        <v>74</v>
      </c>
      <c r="I228" t="s">
        <v>3747</v>
      </c>
      <c r="J228" t="s">
        <v>3630</v>
      </c>
      <c r="K228" t="s">
        <v>74</v>
      </c>
      <c r="L228" t="s">
        <v>74</v>
      </c>
      <c r="M228" t="s">
        <v>78</v>
      </c>
      <c r="N228" t="s">
        <v>79</v>
      </c>
      <c r="O228" t="s">
        <v>74</v>
      </c>
      <c r="P228" t="s">
        <v>74</v>
      </c>
      <c r="Q228" t="s">
        <v>74</v>
      </c>
      <c r="R228" t="s">
        <v>74</v>
      </c>
      <c r="S228" t="s">
        <v>74</v>
      </c>
      <c r="T228" t="s">
        <v>74</v>
      </c>
      <c r="U228" t="s">
        <v>3748</v>
      </c>
      <c r="V228" t="s">
        <v>3749</v>
      </c>
      <c r="W228" t="s">
        <v>3750</v>
      </c>
      <c r="X228" t="s">
        <v>3751</v>
      </c>
      <c r="Y228" t="s">
        <v>3752</v>
      </c>
      <c r="Z228" t="s">
        <v>3753</v>
      </c>
      <c r="AA228" t="s">
        <v>3754</v>
      </c>
      <c r="AB228" t="s">
        <v>3755</v>
      </c>
      <c r="AC228" t="s">
        <v>74</v>
      </c>
      <c r="AD228" t="s">
        <v>74</v>
      </c>
      <c r="AE228" t="s">
        <v>74</v>
      </c>
      <c r="AF228" t="s">
        <v>74</v>
      </c>
      <c r="AG228">
        <v>23</v>
      </c>
      <c r="AH228">
        <v>4</v>
      </c>
      <c r="AI228">
        <v>6</v>
      </c>
      <c r="AJ228">
        <v>0</v>
      </c>
      <c r="AK228">
        <v>9</v>
      </c>
      <c r="AL228" t="s">
        <v>221</v>
      </c>
      <c r="AM228" t="s">
        <v>222</v>
      </c>
      <c r="AN228" t="s">
        <v>3639</v>
      </c>
      <c r="AO228" t="s">
        <v>3640</v>
      </c>
      <c r="AP228" t="s">
        <v>3641</v>
      </c>
      <c r="AQ228" t="s">
        <v>74</v>
      </c>
      <c r="AR228" t="s">
        <v>3642</v>
      </c>
      <c r="AS228" t="s">
        <v>3643</v>
      </c>
      <c r="AT228" t="s">
        <v>74</v>
      </c>
      <c r="AU228">
        <v>2007</v>
      </c>
      <c r="AV228">
        <v>53</v>
      </c>
      <c r="AW228">
        <v>182</v>
      </c>
      <c r="AX228" t="s">
        <v>74</v>
      </c>
      <c r="AY228" t="s">
        <v>74</v>
      </c>
      <c r="AZ228" t="s">
        <v>74</v>
      </c>
      <c r="BA228" t="s">
        <v>74</v>
      </c>
      <c r="BB228">
        <v>490</v>
      </c>
      <c r="BC228">
        <v>498</v>
      </c>
      <c r="BD228" t="s">
        <v>74</v>
      </c>
      <c r="BE228" t="s">
        <v>3756</v>
      </c>
      <c r="BF228" t="str">
        <f>HYPERLINK("http://dx.doi.org/10.3189/002214307783258440","http://dx.doi.org/10.3189/002214307783258440")</f>
        <v>http://dx.doi.org/10.3189/002214307783258440</v>
      </c>
      <c r="BG228" t="s">
        <v>74</v>
      </c>
      <c r="BH228" t="s">
        <v>74</v>
      </c>
      <c r="BI228">
        <v>9</v>
      </c>
      <c r="BJ228" t="s">
        <v>663</v>
      </c>
      <c r="BK228" t="s">
        <v>97</v>
      </c>
      <c r="BL228" t="s">
        <v>664</v>
      </c>
      <c r="BM228" t="s">
        <v>3707</v>
      </c>
      <c r="BN228" t="s">
        <v>74</v>
      </c>
      <c r="BO228" t="s">
        <v>124</v>
      </c>
      <c r="BP228" t="s">
        <v>74</v>
      </c>
      <c r="BQ228" t="s">
        <v>74</v>
      </c>
      <c r="BR228" t="s">
        <v>100</v>
      </c>
      <c r="BS228" t="s">
        <v>3757</v>
      </c>
      <c r="BT228" t="str">
        <f>HYPERLINK("https%3A%2F%2Fwww.webofscience.com%2Fwos%2Fwoscc%2Ffull-record%2FWOS:000251119800018","View Full Record in Web of Science")</f>
        <v>View Full Record in Web of Science</v>
      </c>
    </row>
    <row r="229" spans="1:72" x14ac:dyDescent="0.15">
      <c r="A229" t="s">
        <v>72</v>
      </c>
      <c r="B229" t="s">
        <v>3758</v>
      </c>
      <c r="C229" t="s">
        <v>74</v>
      </c>
      <c r="D229" t="s">
        <v>74</v>
      </c>
      <c r="E229" t="s">
        <v>74</v>
      </c>
      <c r="F229" t="s">
        <v>3759</v>
      </c>
      <c r="G229" t="s">
        <v>74</v>
      </c>
      <c r="H229" t="s">
        <v>74</v>
      </c>
      <c r="I229" t="s">
        <v>3760</v>
      </c>
      <c r="J229" t="s">
        <v>3630</v>
      </c>
      <c r="K229" t="s">
        <v>74</v>
      </c>
      <c r="L229" t="s">
        <v>74</v>
      </c>
      <c r="M229" t="s">
        <v>78</v>
      </c>
      <c r="N229" t="s">
        <v>79</v>
      </c>
      <c r="O229" t="s">
        <v>74</v>
      </c>
      <c r="P229" t="s">
        <v>74</v>
      </c>
      <c r="Q229" t="s">
        <v>74</v>
      </c>
      <c r="R229" t="s">
        <v>74</v>
      </c>
      <c r="S229" t="s">
        <v>74</v>
      </c>
      <c r="T229" t="s">
        <v>74</v>
      </c>
      <c r="U229" t="s">
        <v>3761</v>
      </c>
      <c r="V229" t="s">
        <v>3762</v>
      </c>
      <c r="W229" t="s">
        <v>3763</v>
      </c>
      <c r="X229" t="s">
        <v>3764</v>
      </c>
      <c r="Y229" t="s">
        <v>3765</v>
      </c>
      <c r="Z229" t="s">
        <v>3766</v>
      </c>
      <c r="AA229" t="s">
        <v>3767</v>
      </c>
      <c r="AB229" t="s">
        <v>3768</v>
      </c>
      <c r="AC229" t="s">
        <v>74</v>
      </c>
      <c r="AD229" t="s">
        <v>74</v>
      </c>
      <c r="AE229" t="s">
        <v>74</v>
      </c>
      <c r="AF229" t="s">
        <v>74</v>
      </c>
      <c r="AG229">
        <v>36</v>
      </c>
      <c r="AH229">
        <v>49</v>
      </c>
      <c r="AI229">
        <v>59</v>
      </c>
      <c r="AJ229">
        <v>0</v>
      </c>
      <c r="AK229">
        <v>17</v>
      </c>
      <c r="AL229" t="s">
        <v>221</v>
      </c>
      <c r="AM229" t="s">
        <v>222</v>
      </c>
      <c r="AN229" t="s">
        <v>3639</v>
      </c>
      <c r="AO229" t="s">
        <v>3640</v>
      </c>
      <c r="AP229" t="s">
        <v>3641</v>
      </c>
      <c r="AQ229" t="s">
        <v>74</v>
      </c>
      <c r="AR229" t="s">
        <v>3642</v>
      </c>
      <c r="AS229" t="s">
        <v>3643</v>
      </c>
      <c r="AT229" t="s">
        <v>74</v>
      </c>
      <c r="AU229">
        <v>2007</v>
      </c>
      <c r="AV229">
        <v>53</v>
      </c>
      <c r="AW229">
        <v>183</v>
      </c>
      <c r="AX229" t="s">
        <v>74</v>
      </c>
      <c r="AY229" t="s">
        <v>74</v>
      </c>
      <c r="AZ229" t="s">
        <v>74</v>
      </c>
      <c r="BA229" t="s">
        <v>74</v>
      </c>
      <c r="BB229">
        <v>523</v>
      </c>
      <c r="BC229">
        <v>536</v>
      </c>
      <c r="BD229" t="s">
        <v>74</v>
      </c>
      <c r="BE229" t="s">
        <v>3769</v>
      </c>
      <c r="BF229" t="str">
        <f>HYPERLINK("http://dx.doi.org/10.3189/002214307784409207","http://dx.doi.org/10.3189/002214307784409207")</f>
        <v>http://dx.doi.org/10.3189/002214307784409207</v>
      </c>
      <c r="BG229" t="s">
        <v>74</v>
      </c>
      <c r="BH229" t="s">
        <v>74</v>
      </c>
      <c r="BI229">
        <v>14</v>
      </c>
      <c r="BJ229" t="s">
        <v>663</v>
      </c>
      <c r="BK229" t="s">
        <v>97</v>
      </c>
      <c r="BL229" t="s">
        <v>664</v>
      </c>
      <c r="BM229" t="s">
        <v>3770</v>
      </c>
      <c r="BN229" t="s">
        <v>74</v>
      </c>
      <c r="BO229" t="s">
        <v>124</v>
      </c>
      <c r="BP229" t="s">
        <v>74</v>
      </c>
      <c r="BQ229" t="s">
        <v>74</v>
      </c>
      <c r="BR229" t="s">
        <v>100</v>
      </c>
      <c r="BS229" t="s">
        <v>3771</v>
      </c>
      <c r="BT229" t="str">
        <f>HYPERLINK("https%3A%2F%2Fwww.webofscience.com%2Fwos%2Fwoscc%2Ffull-record%2FWOS:000252626400001","View Full Record in Web of Science")</f>
        <v>View Full Record in Web of Science</v>
      </c>
    </row>
    <row r="230" spans="1:72" x14ac:dyDescent="0.15">
      <c r="A230" t="s">
        <v>72</v>
      </c>
      <c r="B230" t="s">
        <v>3772</v>
      </c>
      <c r="C230" t="s">
        <v>74</v>
      </c>
      <c r="D230" t="s">
        <v>74</v>
      </c>
      <c r="E230" t="s">
        <v>74</v>
      </c>
      <c r="F230" t="s">
        <v>3773</v>
      </c>
      <c r="G230" t="s">
        <v>74</v>
      </c>
      <c r="H230" t="s">
        <v>74</v>
      </c>
      <c r="I230" t="s">
        <v>3774</v>
      </c>
      <c r="J230" t="s">
        <v>3630</v>
      </c>
      <c r="K230" t="s">
        <v>74</v>
      </c>
      <c r="L230" t="s">
        <v>74</v>
      </c>
      <c r="M230" t="s">
        <v>78</v>
      </c>
      <c r="N230" t="s">
        <v>79</v>
      </c>
      <c r="O230" t="s">
        <v>74</v>
      </c>
      <c r="P230" t="s">
        <v>74</v>
      </c>
      <c r="Q230" t="s">
        <v>74</v>
      </c>
      <c r="R230" t="s">
        <v>74</v>
      </c>
      <c r="S230" t="s">
        <v>74</v>
      </c>
      <c r="T230" t="s">
        <v>74</v>
      </c>
      <c r="U230" t="s">
        <v>3775</v>
      </c>
      <c r="V230" t="s">
        <v>3776</v>
      </c>
      <c r="W230" t="s">
        <v>3777</v>
      </c>
      <c r="X230" t="s">
        <v>3778</v>
      </c>
      <c r="Y230" t="s">
        <v>3779</v>
      </c>
      <c r="Z230" t="s">
        <v>3780</v>
      </c>
      <c r="AA230" t="s">
        <v>3781</v>
      </c>
      <c r="AB230" t="s">
        <v>74</v>
      </c>
      <c r="AC230" t="s">
        <v>74</v>
      </c>
      <c r="AD230" t="s">
        <v>74</v>
      </c>
      <c r="AE230" t="s">
        <v>74</v>
      </c>
      <c r="AF230" t="s">
        <v>74</v>
      </c>
      <c r="AG230">
        <v>40</v>
      </c>
      <c r="AH230">
        <v>19</v>
      </c>
      <c r="AI230">
        <v>21</v>
      </c>
      <c r="AJ230">
        <v>0</v>
      </c>
      <c r="AK230">
        <v>10</v>
      </c>
      <c r="AL230" t="s">
        <v>3668</v>
      </c>
      <c r="AM230" t="s">
        <v>222</v>
      </c>
      <c r="AN230" t="s">
        <v>3669</v>
      </c>
      <c r="AO230" t="s">
        <v>3640</v>
      </c>
      <c r="AP230" t="s">
        <v>74</v>
      </c>
      <c r="AQ230" t="s">
        <v>74</v>
      </c>
      <c r="AR230" t="s">
        <v>3642</v>
      </c>
      <c r="AS230" t="s">
        <v>3643</v>
      </c>
      <c r="AT230" t="s">
        <v>74</v>
      </c>
      <c r="AU230">
        <v>2007</v>
      </c>
      <c r="AV230">
        <v>53</v>
      </c>
      <c r="AW230">
        <v>183</v>
      </c>
      <c r="AX230" t="s">
        <v>74</v>
      </c>
      <c r="AY230" t="s">
        <v>74</v>
      </c>
      <c r="AZ230" t="s">
        <v>74</v>
      </c>
      <c r="BA230" t="s">
        <v>74</v>
      </c>
      <c r="BB230">
        <v>558</v>
      </c>
      <c r="BC230">
        <v>564</v>
      </c>
      <c r="BD230" t="s">
        <v>74</v>
      </c>
      <c r="BE230" t="s">
        <v>3782</v>
      </c>
      <c r="BF230" t="str">
        <f>HYPERLINK("http://dx.doi.org/10.3189/002214307784409199","http://dx.doi.org/10.3189/002214307784409199")</f>
        <v>http://dx.doi.org/10.3189/002214307784409199</v>
      </c>
      <c r="BG230" t="s">
        <v>74</v>
      </c>
      <c r="BH230" t="s">
        <v>74</v>
      </c>
      <c r="BI230">
        <v>7</v>
      </c>
      <c r="BJ230" t="s">
        <v>663</v>
      </c>
      <c r="BK230" t="s">
        <v>97</v>
      </c>
      <c r="BL230" t="s">
        <v>664</v>
      </c>
      <c r="BM230" t="s">
        <v>3770</v>
      </c>
      <c r="BN230" t="s">
        <v>74</v>
      </c>
      <c r="BO230" t="s">
        <v>124</v>
      </c>
      <c r="BP230" t="s">
        <v>74</v>
      </c>
      <c r="BQ230" t="s">
        <v>74</v>
      </c>
      <c r="BR230" t="s">
        <v>100</v>
      </c>
      <c r="BS230" t="s">
        <v>3783</v>
      </c>
      <c r="BT230" t="str">
        <f>HYPERLINK("https%3A%2F%2Fwww.webofscience.com%2Fwos%2Fwoscc%2Ffull-record%2FWOS:000252626400004","View Full Record in Web of Science")</f>
        <v>View Full Record in Web of Science</v>
      </c>
    </row>
    <row r="231" spans="1:72" x14ac:dyDescent="0.15">
      <c r="A231" t="s">
        <v>72</v>
      </c>
      <c r="B231" t="s">
        <v>3784</v>
      </c>
      <c r="C231" t="s">
        <v>74</v>
      </c>
      <c r="D231" t="s">
        <v>74</v>
      </c>
      <c r="E231" t="s">
        <v>74</v>
      </c>
      <c r="F231" t="s">
        <v>3785</v>
      </c>
      <c r="G231" t="s">
        <v>74</v>
      </c>
      <c r="H231" t="s">
        <v>74</v>
      </c>
      <c r="I231" t="s">
        <v>3786</v>
      </c>
      <c r="J231" t="s">
        <v>3630</v>
      </c>
      <c r="K231" t="s">
        <v>74</v>
      </c>
      <c r="L231" t="s">
        <v>74</v>
      </c>
      <c r="M231" t="s">
        <v>78</v>
      </c>
      <c r="N231" t="s">
        <v>79</v>
      </c>
      <c r="O231" t="s">
        <v>74</v>
      </c>
      <c r="P231" t="s">
        <v>74</v>
      </c>
      <c r="Q231" t="s">
        <v>74</v>
      </c>
      <c r="R231" t="s">
        <v>74</v>
      </c>
      <c r="S231" t="s">
        <v>74</v>
      </c>
      <c r="T231" t="s">
        <v>74</v>
      </c>
      <c r="U231" t="s">
        <v>3787</v>
      </c>
      <c r="V231" t="s">
        <v>3788</v>
      </c>
      <c r="W231" t="s">
        <v>3789</v>
      </c>
      <c r="X231" t="s">
        <v>3790</v>
      </c>
      <c r="Y231" t="s">
        <v>3791</v>
      </c>
      <c r="Z231" t="s">
        <v>1045</v>
      </c>
      <c r="AA231" t="s">
        <v>3792</v>
      </c>
      <c r="AB231" t="s">
        <v>3793</v>
      </c>
      <c r="AC231" t="s">
        <v>3794</v>
      </c>
      <c r="AD231" t="s">
        <v>158</v>
      </c>
      <c r="AE231" t="s">
        <v>74</v>
      </c>
      <c r="AF231" t="s">
        <v>74</v>
      </c>
      <c r="AG231">
        <v>20</v>
      </c>
      <c r="AH231">
        <v>33</v>
      </c>
      <c r="AI231">
        <v>38</v>
      </c>
      <c r="AJ231">
        <v>0</v>
      </c>
      <c r="AK231">
        <v>8</v>
      </c>
      <c r="AL231" t="s">
        <v>3668</v>
      </c>
      <c r="AM231" t="s">
        <v>222</v>
      </c>
      <c r="AN231" t="s">
        <v>3669</v>
      </c>
      <c r="AO231" t="s">
        <v>3640</v>
      </c>
      <c r="AP231" t="s">
        <v>3641</v>
      </c>
      <c r="AQ231" t="s">
        <v>74</v>
      </c>
      <c r="AR231" t="s">
        <v>3642</v>
      </c>
      <c r="AS231" t="s">
        <v>3643</v>
      </c>
      <c r="AT231" t="s">
        <v>74</v>
      </c>
      <c r="AU231">
        <v>2007</v>
      </c>
      <c r="AV231">
        <v>53</v>
      </c>
      <c r="AW231">
        <v>183</v>
      </c>
      <c r="AX231" t="s">
        <v>74</v>
      </c>
      <c r="AY231" t="s">
        <v>74</v>
      </c>
      <c r="AZ231" t="s">
        <v>74</v>
      </c>
      <c r="BA231" t="s">
        <v>74</v>
      </c>
      <c r="BB231">
        <v>612</v>
      </c>
      <c r="BC231">
        <v>622</v>
      </c>
      <c r="BD231" t="s">
        <v>74</v>
      </c>
      <c r="BE231" t="s">
        <v>3795</v>
      </c>
      <c r="BF231" t="str">
        <f>HYPERLINK("http://dx.doi.org/10.3189/002214307784409298","http://dx.doi.org/10.3189/002214307784409298")</f>
        <v>http://dx.doi.org/10.3189/002214307784409298</v>
      </c>
      <c r="BG231" t="s">
        <v>74</v>
      </c>
      <c r="BH231" t="s">
        <v>74</v>
      </c>
      <c r="BI231">
        <v>11</v>
      </c>
      <c r="BJ231" t="s">
        <v>663</v>
      </c>
      <c r="BK231" t="s">
        <v>97</v>
      </c>
      <c r="BL231" t="s">
        <v>664</v>
      </c>
      <c r="BM231" t="s">
        <v>3770</v>
      </c>
      <c r="BN231" t="s">
        <v>74</v>
      </c>
      <c r="BO231" t="s">
        <v>3708</v>
      </c>
      <c r="BP231" t="s">
        <v>74</v>
      </c>
      <c r="BQ231" t="s">
        <v>74</v>
      </c>
      <c r="BR231" t="s">
        <v>100</v>
      </c>
      <c r="BS231" t="s">
        <v>3796</v>
      </c>
      <c r="BT231" t="str">
        <f>HYPERLINK("https%3A%2F%2Fwww.webofscience.com%2Fwos%2Fwoscc%2Ffull-record%2FWOS:000252626400010","View Full Record in Web of Science")</f>
        <v>View Full Record in Web of Science</v>
      </c>
    </row>
    <row r="232" spans="1:72" x14ac:dyDescent="0.15">
      <c r="A232" t="s">
        <v>72</v>
      </c>
      <c r="B232" t="s">
        <v>3797</v>
      </c>
      <c r="C232" t="s">
        <v>74</v>
      </c>
      <c r="D232" t="s">
        <v>74</v>
      </c>
      <c r="E232" t="s">
        <v>74</v>
      </c>
      <c r="F232" t="s">
        <v>3798</v>
      </c>
      <c r="G232" t="s">
        <v>74</v>
      </c>
      <c r="H232" t="s">
        <v>74</v>
      </c>
      <c r="I232" t="s">
        <v>3799</v>
      </c>
      <c r="J232" t="s">
        <v>3630</v>
      </c>
      <c r="K232" t="s">
        <v>74</v>
      </c>
      <c r="L232" t="s">
        <v>74</v>
      </c>
      <c r="M232" t="s">
        <v>78</v>
      </c>
      <c r="N232" t="s">
        <v>79</v>
      </c>
      <c r="O232" t="s">
        <v>74</v>
      </c>
      <c r="P232" t="s">
        <v>74</v>
      </c>
      <c r="Q232" t="s">
        <v>74</v>
      </c>
      <c r="R232" t="s">
        <v>74</v>
      </c>
      <c r="S232" t="s">
        <v>74</v>
      </c>
      <c r="T232" t="s">
        <v>74</v>
      </c>
      <c r="U232" t="s">
        <v>3800</v>
      </c>
      <c r="V232" t="s">
        <v>3801</v>
      </c>
      <c r="W232" t="s">
        <v>3802</v>
      </c>
      <c r="X232" t="s">
        <v>3803</v>
      </c>
      <c r="Y232" t="s">
        <v>3804</v>
      </c>
      <c r="Z232" t="s">
        <v>3805</v>
      </c>
      <c r="AA232" t="s">
        <v>3806</v>
      </c>
      <c r="AB232" t="s">
        <v>3807</v>
      </c>
      <c r="AC232" t="s">
        <v>74</v>
      </c>
      <c r="AD232" t="s">
        <v>74</v>
      </c>
      <c r="AE232" t="s">
        <v>74</v>
      </c>
      <c r="AF232" t="s">
        <v>74</v>
      </c>
      <c r="AG232">
        <v>20</v>
      </c>
      <c r="AH232">
        <v>30</v>
      </c>
      <c r="AI232">
        <v>33</v>
      </c>
      <c r="AJ232">
        <v>0</v>
      </c>
      <c r="AK232">
        <v>3</v>
      </c>
      <c r="AL232" t="s">
        <v>3668</v>
      </c>
      <c r="AM232" t="s">
        <v>222</v>
      </c>
      <c r="AN232" t="s">
        <v>3669</v>
      </c>
      <c r="AO232" t="s">
        <v>3640</v>
      </c>
      <c r="AP232" t="s">
        <v>74</v>
      </c>
      <c r="AQ232" t="s">
        <v>74</v>
      </c>
      <c r="AR232" t="s">
        <v>3642</v>
      </c>
      <c r="AS232" t="s">
        <v>3643</v>
      </c>
      <c r="AT232" t="s">
        <v>74</v>
      </c>
      <c r="AU232">
        <v>2007</v>
      </c>
      <c r="AV232">
        <v>53</v>
      </c>
      <c r="AW232">
        <v>183</v>
      </c>
      <c r="AX232" t="s">
        <v>74</v>
      </c>
      <c r="AY232" t="s">
        <v>74</v>
      </c>
      <c r="AZ232" t="s">
        <v>74</v>
      </c>
      <c r="BA232" t="s">
        <v>74</v>
      </c>
      <c r="BB232">
        <v>635</v>
      </c>
      <c r="BC232">
        <v>645</v>
      </c>
      <c r="BD232" t="s">
        <v>74</v>
      </c>
      <c r="BE232" t="s">
        <v>3808</v>
      </c>
      <c r="BF232" t="str">
        <f>HYPERLINK("http://dx.doi.org/10.3189/002214307784409333","http://dx.doi.org/10.3189/002214307784409333")</f>
        <v>http://dx.doi.org/10.3189/002214307784409333</v>
      </c>
      <c r="BG232" t="s">
        <v>74</v>
      </c>
      <c r="BH232" t="s">
        <v>74</v>
      </c>
      <c r="BI232">
        <v>11</v>
      </c>
      <c r="BJ232" t="s">
        <v>663</v>
      </c>
      <c r="BK232" t="s">
        <v>97</v>
      </c>
      <c r="BL232" t="s">
        <v>664</v>
      </c>
      <c r="BM232" t="s">
        <v>3770</v>
      </c>
      <c r="BN232" t="s">
        <v>74</v>
      </c>
      <c r="BO232" t="s">
        <v>3809</v>
      </c>
      <c r="BP232" t="s">
        <v>74</v>
      </c>
      <c r="BQ232" t="s">
        <v>74</v>
      </c>
      <c r="BR232" t="s">
        <v>100</v>
      </c>
      <c r="BS232" t="s">
        <v>3810</v>
      </c>
      <c r="BT232" t="str">
        <f>HYPERLINK("https%3A%2F%2Fwww.webofscience.com%2Fwos%2Fwoscc%2Ffull-record%2FWOS:000252626400012","View Full Record in Web of Science")</f>
        <v>View Full Record in Web of Science</v>
      </c>
    </row>
    <row r="233" spans="1:72" x14ac:dyDescent="0.15">
      <c r="A233" t="s">
        <v>72</v>
      </c>
      <c r="B233" t="s">
        <v>3811</v>
      </c>
      <c r="C233" t="s">
        <v>74</v>
      </c>
      <c r="D233" t="s">
        <v>74</v>
      </c>
      <c r="E233" t="s">
        <v>74</v>
      </c>
      <c r="F233" t="s">
        <v>3812</v>
      </c>
      <c r="G233" t="s">
        <v>74</v>
      </c>
      <c r="H233" t="s">
        <v>74</v>
      </c>
      <c r="I233" t="s">
        <v>3813</v>
      </c>
      <c r="J233" t="s">
        <v>3630</v>
      </c>
      <c r="K233" t="s">
        <v>74</v>
      </c>
      <c r="L233" t="s">
        <v>74</v>
      </c>
      <c r="M233" t="s">
        <v>78</v>
      </c>
      <c r="N233" t="s">
        <v>79</v>
      </c>
      <c r="O233" t="s">
        <v>74</v>
      </c>
      <c r="P233" t="s">
        <v>74</v>
      </c>
      <c r="Q233" t="s">
        <v>74</v>
      </c>
      <c r="R233" t="s">
        <v>74</v>
      </c>
      <c r="S233" t="s">
        <v>74</v>
      </c>
      <c r="T233" t="s">
        <v>74</v>
      </c>
      <c r="U233" t="s">
        <v>3814</v>
      </c>
      <c r="V233" t="s">
        <v>3815</v>
      </c>
      <c r="W233" t="s">
        <v>3816</v>
      </c>
      <c r="X233" t="s">
        <v>3817</v>
      </c>
      <c r="Y233" t="s">
        <v>3818</v>
      </c>
      <c r="Z233" t="s">
        <v>3819</v>
      </c>
      <c r="AA233" t="s">
        <v>74</v>
      </c>
      <c r="AB233" t="s">
        <v>3820</v>
      </c>
      <c r="AC233" t="s">
        <v>74</v>
      </c>
      <c r="AD233" t="s">
        <v>74</v>
      </c>
      <c r="AE233" t="s">
        <v>74</v>
      </c>
      <c r="AF233" t="s">
        <v>74</v>
      </c>
      <c r="AG233">
        <v>24</v>
      </c>
      <c r="AH233">
        <v>8</v>
      </c>
      <c r="AI233">
        <v>9</v>
      </c>
      <c r="AJ233">
        <v>0</v>
      </c>
      <c r="AK233">
        <v>6</v>
      </c>
      <c r="AL233" t="s">
        <v>3668</v>
      </c>
      <c r="AM233" t="s">
        <v>222</v>
      </c>
      <c r="AN233" t="s">
        <v>3669</v>
      </c>
      <c r="AO233" t="s">
        <v>3640</v>
      </c>
      <c r="AP233" t="s">
        <v>74</v>
      </c>
      <c r="AQ233" t="s">
        <v>74</v>
      </c>
      <c r="AR233" t="s">
        <v>3642</v>
      </c>
      <c r="AS233" t="s">
        <v>3643</v>
      </c>
      <c r="AT233" t="s">
        <v>74</v>
      </c>
      <c r="AU233">
        <v>2007</v>
      </c>
      <c r="AV233">
        <v>53</v>
      </c>
      <c r="AW233">
        <v>183</v>
      </c>
      <c r="AX233" t="s">
        <v>74</v>
      </c>
      <c r="AY233" t="s">
        <v>74</v>
      </c>
      <c r="AZ233" t="s">
        <v>74</v>
      </c>
      <c r="BA233" t="s">
        <v>74</v>
      </c>
      <c r="BB233">
        <v>659</v>
      </c>
      <c r="BC233">
        <v>664</v>
      </c>
      <c r="BD233" t="s">
        <v>74</v>
      </c>
      <c r="BE233" t="s">
        <v>3821</v>
      </c>
      <c r="BF233" t="str">
        <f>HYPERLINK("http://dx.doi.org/10.3189/002214307784409180","http://dx.doi.org/10.3189/002214307784409180")</f>
        <v>http://dx.doi.org/10.3189/002214307784409180</v>
      </c>
      <c r="BG233" t="s">
        <v>74</v>
      </c>
      <c r="BH233" t="s">
        <v>74</v>
      </c>
      <c r="BI233">
        <v>6</v>
      </c>
      <c r="BJ233" t="s">
        <v>663</v>
      </c>
      <c r="BK233" t="s">
        <v>97</v>
      </c>
      <c r="BL233" t="s">
        <v>664</v>
      </c>
      <c r="BM233" t="s">
        <v>3770</v>
      </c>
      <c r="BN233" t="s">
        <v>74</v>
      </c>
      <c r="BO233" t="s">
        <v>124</v>
      </c>
      <c r="BP233" t="s">
        <v>74</v>
      </c>
      <c r="BQ233" t="s">
        <v>74</v>
      </c>
      <c r="BR233" t="s">
        <v>100</v>
      </c>
      <c r="BS233" t="s">
        <v>3822</v>
      </c>
      <c r="BT233" t="str">
        <f>HYPERLINK("https%3A%2F%2Fwww.webofscience.com%2Fwos%2Fwoscc%2Ffull-record%2FWOS:000252626400014","View Full Record in Web of Science")</f>
        <v>View Full Record in Web of Science</v>
      </c>
    </row>
    <row r="234" spans="1:72" x14ac:dyDescent="0.15">
      <c r="A234" t="s">
        <v>72</v>
      </c>
      <c r="B234" t="s">
        <v>3823</v>
      </c>
      <c r="C234" t="s">
        <v>74</v>
      </c>
      <c r="D234" t="s">
        <v>74</v>
      </c>
      <c r="E234" t="s">
        <v>74</v>
      </c>
      <c r="F234" t="s">
        <v>3824</v>
      </c>
      <c r="G234" t="s">
        <v>74</v>
      </c>
      <c r="H234" t="s">
        <v>74</v>
      </c>
      <c r="I234" t="s">
        <v>3825</v>
      </c>
      <c r="J234" t="s">
        <v>3630</v>
      </c>
      <c r="K234" t="s">
        <v>74</v>
      </c>
      <c r="L234" t="s">
        <v>74</v>
      </c>
      <c r="M234" t="s">
        <v>78</v>
      </c>
      <c r="N234" t="s">
        <v>79</v>
      </c>
      <c r="O234" t="s">
        <v>74</v>
      </c>
      <c r="P234" t="s">
        <v>74</v>
      </c>
      <c r="Q234" t="s">
        <v>74</v>
      </c>
      <c r="R234" t="s">
        <v>74</v>
      </c>
      <c r="S234" t="s">
        <v>74</v>
      </c>
      <c r="T234" t="s">
        <v>74</v>
      </c>
      <c r="U234" t="s">
        <v>3826</v>
      </c>
      <c r="V234" t="s">
        <v>3827</v>
      </c>
      <c r="W234" t="s">
        <v>3828</v>
      </c>
      <c r="X234" t="s">
        <v>3829</v>
      </c>
      <c r="Y234" t="s">
        <v>3830</v>
      </c>
      <c r="Z234" t="s">
        <v>3831</v>
      </c>
      <c r="AA234" t="s">
        <v>3832</v>
      </c>
      <c r="AB234" t="s">
        <v>3833</v>
      </c>
      <c r="AC234" t="s">
        <v>3794</v>
      </c>
      <c r="AD234" t="s">
        <v>158</v>
      </c>
      <c r="AE234" t="s">
        <v>74</v>
      </c>
      <c r="AF234" t="s">
        <v>74</v>
      </c>
      <c r="AG234">
        <v>26</v>
      </c>
      <c r="AH234">
        <v>72</v>
      </c>
      <c r="AI234">
        <v>77</v>
      </c>
      <c r="AJ234">
        <v>0</v>
      </c>
      <c r="AK234">
        <v>12</v>
      </c>
      <c r="AL234" t="s">
        <v>221</v>
      </c>
      <c r="AM234" t="s">
        <v>222</v>
      </c>
      <c r="AN234" t="s">
        <v>3639</v>
      </c>
      <c r="AO234" t="s">
        <v>3640</v>
      </c>
      <c r="AP234" t="s">
        <v>3641</v>
      </c>
      <c r="AQ234" t="s">
        <v>74</v>
      </c>
      <c r="AR234" t="s">
        <v>3642</v>
      </c>
      <c r="AS234" t="s">
        <v>3643</v>
      </c>
      <c r="AT234" t="s">
        <v>74</v>
      </c>
      <c r="AU234">
        <v>2007</v>
      </c>
      <c r="AV234">
        <v>53</v>
      </c>
      <c r="AW234">
        <v>183</v>
      </c>
      <c r="AX234" t="s">
        <v>74</v>
      </c>
      <c r="AY234" t="s">
        <v>74</v>
      </c>
      <c r="AZ234" t="s">
        <v>74</v>
      </c>
      <c r="BA234" t="s">
        <v>74</v>
      </c>
      <c r="BB234">
        <v>665</v>
      </c>
      <c r="BC234">
        <v>672</v>
      </c>
      <c r="BD234" t="s">
        <v>74</v>
      </c>
      <c r="BE234" t="s">
        <v>3834</v>
      </c>
      <c r="BF234" t="str">
        <f>HYPERLINK("http://dx.doi.org/10.3189/002214307784409216","http://dx.doi.org/10.3189/002214307784409216")</f>
        <v>http://dx.doi.org/10.3189/002214307784409216</v>
      </c>
      <c r="BG234" t="s">
        <v>74</v>
      </c>
      <c r="BH234" t="s">
        <v>74</v>
      </c>
      <c r="BI234">
        <v>8</v>
      </c>
      <c r="BJ234" t="s">
        <v>663</v>
      </c>
      <c r="BK234" t="s">
        <v>97</v>
      </c>
      <c r="BL234" t="s">
        <v>664</v>
      </c>
      <c r="BM234" t="s">
        <v>3770</v>
      </c>
      <c r="BN234" t="s">
        <v>74</v>
      </c>
      <c r="BO234" t="s">
        <v>124</v>
      </c>
      <c r="BP234" t="s">
        <v>74</v>
      </c>
      <c r="BQ234" t="s">
        <v>74</v>
      </c>
      <c r="BR234" t="s">
        <v>100</v>
      </c>
      <c r="BS234" t="s">
        <v>3835</v>
      </c>
      <c r="BT234" t="str">
        <f>HYPERLINK("https%3A%2F%2Fwww.webofscience.com%2Fwos%2Fwoscc%2Ffull-record%2FWOS:000252626400015","View Full Record in Web of Science")</f>
        <v>View Full Record in Web of Science</v>
      </c>
    </row>
    <row r="235" spans="1:72" x14ac:dyDescent="0.15">
      <c r="A235" t="s">
        <v>72</v>
      </c>
      <c r="B235" t="s">
        <v>3836</v>
      </c>
      <c r="C235" t="s">
        <v>74</v>
      </c>
      <c r="D235" t="s">
        <v>74</v>
      </c>
      <c r="E235" t="s">
        <v>74</v>
      </c>
      <c r="F235" t="s">
        <v>3837</v>
      </c>
      <c r="G235" t="s">
        <v>74</v>
      </c>
      <c r="H235" t="s">
        <v>74</v>
      </c>
      <c r="I235" t="s">
        <v>3838</v>
      </c>
      <c r="J235" t="s">
        <v>3630</v>
      </c>
      <c r="K235" t="s">
        <v>74</v>
      </c>
      <c r="L235" t="s">
        <v>74</v>
      </c>
      <c r="M235" t="s">
        <v>78</v>
      </c>
      <c r="N235" t="s">
        <v>79</v>
      </c>
      <c r="O235" t="s">
        <v>74</v>
      </c>
      <c r="P235" t="s">
        <v>74</v>
      </c>
      <c r="Q235" t="s">
        <v>74</v>
      </c>
      <c r="R235" t="s">
        <v>74</v>
      </c>
      <c r="S235" t="s">
        <v>74</v>
      </c>
      <c r="T235" t="s">
        <v>74</v>
      </c>
      <c r="U235" t="s">
        <v>3839</v>
      </c>
      <c r="V235" t="s">
        <v>3840</v>
      </c>
      <c r="W235" t="s">
        <v>3841</v>
      </c>
      <c r="X235" t="s">
        <v>3842</v>
      </c>
      <c r="Y235" t="s">
        <v>3843</v>
      </c>
      <c r="Z235" t="s">
        <v>3844</v>
      </c>
      <c r="AA235" t="s">
        <v>74</v>
      </c>
      <c r="AB235" t="s">
        <v>3845</v>
      </c>
      <c r="AC235" t="s">
        <v>74</v>
      </c>
      <c r="AD235" t="s">
        <v>74</v>
      </c>
      <c r="AE235" t="s">
        <v>74</v>
      </c>
      <c r="AF235" t="s">
        <v>74</v>
      </c>
      <c r="AG235">
        <v>13</v>
      </c>
      <c r="AH235">
        <v>16</v>
      </c>
      <c r="AI235">
        <v>20</v>
      </c>
      <c r="AJ235">
        <v>0</v>
      </c>
      <c r="AK235">
        <v>4</v>
      </c>
      <c r="AL235" t="s">
        <v>3668</v>
      </c>
      <c r="AM235" t="s">
        <v>222</v>
      </c>
      <c r="AN235" t="s">
        <v>3669</v>
      </c>
      <c r="AO235" t="s">
        <v>3640</v>
      </c>
      <c r="AP235" t="s">
        <v>74</v>
      </c>
      <c r="AQ235" t="s">
        <v>74</v>
      </c>
      <c r="AR235" t="s">
        <v>3642</v>
      </c>
      <c r="AS235" t="s">
        <v>3643</v>
      </c>
      <c r="AT235" t="s">
        <v>74</v>
      </c>
      <c r="AU235">
        <v>2007</v>
      </c>
      <c r="AV235">
        <v>53</v>
      </c>
      <c r="AW235">
        <v>183</v>
      </c>
      <c r="AX235" t="s">
        <v>74</v>
      </c>
      <c r="AY235" t="s">
        <v>74</v>
      </c>
      <c r="AZ235" t="s">
        <v>74</v>
      </c>
      <c r="BA235" t="s">
        <v>74</v>
      </c>
      <c r="BB235">
        <v>677</v>
      </c>
      <c r="BC235">
        <v>680</v>
      </c>
      <c r="BD235" t="s">
        <v>74</v>
      </c>
      <c r="BE235" t="s">
        <v>3846</v>
      </c>
      <c r="BF235" t="str">
        <f>HYPERLINK("http://dx.doi.org/10.3189/002214307784409360","http://dx.doi.org/10.3189/002214307784409360")</f>
        <v>http://dx.doi.org/10.3189/002214307784409360</v>
      </c>
      <c r="BG235" t="s">
        <v>74</v>
      </c>
      <c r="BH235" t="s">
        <v>74</v>
      </c>
      <c r="BI235">
        <v>4</v>
      </c>
      <c r="BJ235" t="s">
        <v>663</v>
      </c>
      <c r="BK235" t="s">
        <v>97</v>
      </c>
      <c r="BL235" t="s">
        <v>664</v>
      </c>
      <c r="BM235" t="s">
        <v>3770</v>
      </c>
      <c r="BN235" t="s">
        <v>74</v>
      </c>
      <c r="BO235" t="s">
        <v>124</v>
      </c>
      <c r="BP235" t="s">
        <v>74</v>
      </c>
      <c r="BQ235" t="s">
        <v>74</v>
      </c>
      <c r="BR235" t="s">
        <v>100</v>
      </c>
      <c r="BS235" t="s">
        <v>3847</v>
      </c>
      <c r="BT235" t="str">
        <f>HYPERLINK("https%3A%2F%2Fwww.webofscience.com%2Fwos%2Fwoscc%2Ffull-record%2FWOS:000252626400017","View Full Record in Web of Science")</f>
        <v>View Full Record in Web of Science</v>
      </c>
    </row>
    <row r="236" spans="1:72" x14ac:dyDescent="0.15">
      <c r="A236" t="s">
        <v>72</v>
      </c>
      <c r="B236" t="s">
        <v>3848</v>
      </c>
      <c r="C236" t="s">
        <v>74</v>
      </c>
      <c r="D236" t="s">
        <v>74</v>
      </c>
      <c r="E236" t="s">
        <v>74</v>
      </c>
      <c r="F236" t="s">
        <v>3849</v>
      </c>
      <c r="G236" t="s">
        <v>74</v>
      </c>
      <c r="H236" t="s">
        <v>74</v>
      </c>
      <c r="I236" t="s">
        <v>3850</v>
      </c>
      <c r="J236" t="s">
        <v>3630</v>
      </c>
      <c r="K236" t="s">
        <v>74</v>
      </c>
      <c r="L236" t="s">
        <v>74</v>
      </c>
      <c r="M236" t="s">
        <v>78</v>
      </c>
      <c r="N236" t="s">
        <v>79</v>
      </c>
      <c r="O236" t="s">
        <v>74</v>
      </c>
      <c r="P236" t="s">
        <v>74</v>
      </c>
      <c r="Q236" t="s">
        <v>74</v>
      </c>
      <c r="R236" t="s">
        <v>74</v>
      </c>
      <c r="S236" t="s">
        <v>74</v>
      </c>
      <c r="T236" t="s">
        <v>74</v>
      </c>
      <c r="U236" t="s">
        <v>3851</v>
      </c>
      <c r="V236" t="s">
        <v>3852</v>
      </c>
      <c r="W236" t="s">
        <v>3853</v>
      </c>
      <c r="X236" t="s">
        <v>3854</v>
      </c>
      <c r="Y236" t="s">
        <v>3855</v>
      </c>
      <c r="Z236" t="s">
        <v>3856</v>
      </c>
      <c r="AA236" t="s">
        <v>3857</v>
      </c>
      <c r="AB236" t="s">
        <v>3858</v>
      </c>
      <c r="AC236" t="s">
        <v>74</v>
      </c>
      <c r="AD236" t="s">
        <v>74</v>
      </c>
      <c r="AE236" t="s">
        <v>74</v>
      </c>
      <c r="AF236" t="s">
        <v>74</v>
      </c>
      <c r="AG236">
        <v>57</v>
      </c>
      <c r="AH236">
        <v>12</v>
      </c>
      <c r="AI236">
        <v>16</v>
      </c>
      <c r="AJ236">
        <v>3</v>
      </c>
      <c r="AK236">
        <v>10</v>
      </c>
      <c r="AL236" t="s">
        <v>3668</v>
      </c>
      <c r="AM236" t="s">
        <v>222</v>
      </c>
      <c r="AN236" t="s">
        <v>3669</v>
      </c>
      <c r="AO236" t="s">
        <v>3640</v>
      </c>
      <c r="AP236" t="s">
        <v>74</v>
      </c>
      <c r="AQ236" t="s">
        <v>74</v>
      </c>
      <c r="AR236" t="s">
        <v>3642</v>
      </c>
      <c r="AS236" t="s">
        <v>3643</v>
      </c>
      <c r="AT236" t="s">
        <v>74</v>
      </c>
      <c r="AU236">
        <v>2007</v>
      </c>
      <c r="AV236">
        <v>53</v>
      </c>
      <c r="AW236">
        <v>183</v>
      </c>
      <c r="AX236" t="s">
        <v>74</v>
      </c>
      <c r="AY236" t="s">
        <v>74</v>
      </c>
      <c r="AZ236" t="s">
        <v>74</v>
      </c>
      <c r="BA236" t="s">
        <v>74</v>
      </c>
      <c r="BB236">
        <v>681</v>
      </c>
      <c r="BC236">
        <v>693</v>
      </c>
      <c r="BD236" t="s">
        <v>74</v>
      </c>
      <c r="BE236" t="s">
        <v>3859</v>
      </c>
      <c r="BF236" t="str">
        <f>HYPERLINK("http://dx.doi.org/10.3189/002214307784409225","http://dx.doi.org/10.3189/002214307784409225")</f>
        <v>http://dx.doi.org/10.3189/002214307784409225</v>
      </c>
      <c r="BG236" t="s">
        <v>74</v>
      </c>
      <c r="BH236" t="s">
        <v>74</v>
      </c>
      <c r="BI236">
        <v>13</v>
      </c>
      <c r="BJ236" t="s">
        <v>663</v>
      </c>
      <c r="BK236" t="s">
        <v>97</v>
      </c>
      <c r="BL236" t="s">
        <v>664</v>
      </c>
      <c r="BM236" t="s">
        <v>3770</v>
      </c>
      <c r="BN236" t="s">
        <v>74</v>
      </c>
      <c r="BO236" t="s">
        <v>3708</v>
      </c>
      <c r="BP236" t="s">
        <v>74</v>
      </c>
      <c r="BQ236" t="s">
        <v>74</v>
      </c>
      <c r="BR236" t="s">
        <v>100</v>
      </c>
      <c r="BS236" t="s">
        <v>3860</v>
      </c>
      <c r="BT236" t="str">
        <f>HYPERLINK("https%3A%2F%2Fwww.webofscience.com%2Fwos%2Fwoscc%2Ffull-record%2FWOS:000252626400018","View Full Record in Web of Science")</f>
        <v>View Full Record in Web of Science</v>
      </c>
    </row>
    <row r="237" spans="1:72" x14ac:dyDescent="0.15">
      <c r="A237" t="s">
        <v>72</v>
      </c>
      <c r="B237" t="s">
        <v>3861</v>
      </c>
      <c r="C237" t="s">
        <v>74</v>
      </c>
      <c r="D237" t="s">
        <v>74</v>
      </c>
      <c r="E237" t="s">
        <v>74</v>
      </c>
      <c r="F237" t="s">
        <v>3862</v>
      </c>
      <c r="G237" t="s">
        <v>74</v>
      </c>
      <c r="H237" t="s">
        <v>74</v>
      </c>
      <c r="I237" t="s">
        <v>3863</v>
      </c>
      <c r="J237" t="s">
        <v>3864</v>
      </c>
      <c r="K237" t="s">
        <v>74</v>
      </c>
      <c r="L237" t="s">
        <v>74</v>
      </c>
      <c r="M237" t="s">
        <v>78</v>
      </c>
      <c r="N237" t="s">
        <v>79</v>
      </c>
      <c r="O237" t="s">
        <v>74</v>
      </c>
      <c r="P237" t="s">
        <v>74</v>
      </c>
      <c r="Q237" t="s">
        <v>74</v>
      </c>
      <c r="R237" t="s">
        <v>74</v>
      </c>
      <c r="S237" t="s">
        <v>74</v>
      </c>
      <c r="T237" t="s">
        <v>3865</v>
      </c>
      <c r="U237" t="s">
        <v>3866</v>
      </c>
      <c r="V237" t="s">
        <v>3867</v>
      </c>
      <c r="W237" t="s">
        <v>3868</v>
      </c>
      <c r="X237" t="s">
        <v>3869</v>
      </c>
      <c r="Y237" t="s">
        <v>3870</v>
      </c>
      <c r="Z237" t="s">
        <v>3871</v>
      </c>
      <c r="AA237" t="s">
        <v>3872</v>
      </c>
      <c r="AB237" t="s">
        <v>3873</v>
      </c>
      <c r="AC237" t="s">
        <v>3874</v>
      </c>
      <c r="AD237" t="s">
        <v>1254</v>
      </c>
      <c r="AE237" t="s">
        <v>74</v>
      </c>
      <c r="AF237" t="s">
        <v>74</v>
      </c>
      <c r="AG237">
        <v>17</v>
      </c>
      <c r="AH237">
        <v>12</v>
      </c>
      <c r="AI237">
        <v>12</v>
      </c>
      <c r="AJ237">
        <v>0</v>
      </c>
      <c r="AK237">
        <v>9</v>
      </c>
      <c r="AL237" t="s">
        <v>2428</v>
      </c>
      <c r="AM237" t="s">
        <v>2429</v>
      </c>
      <c r="AN237" t="s">
        <v>3220</v>
      </c>
      <c r="AO237" t="s">
        <v>3875</v>
      </c>
      <c r="AP237" t="s">
        <v>74</v>
      </c>
      <c r="AQ237" t="s">
        <v>74</v>
      </c>
      <c r="AR237" t="s">
        <v>3876</v>
      </c>
      <c r="AS237" t="s">
        <v>3877</v>
      </c>
      <c r="AT237" t="s">
        <v>74</v>
      </c>
      <c r="AU237">
        <v>2007</v>
      </c>
      <c r="AV237">
        <v>45</v>
      </c>
      <c r="AW237">
        <v>3</v>
      </c>
      <c r="AX237" t="s">
        <v>74</v>
      </c>
      <c r="AY237" t="s">
        <v>74</v>
      </c>
      <c r="AZ237" t="s">
        <v>74</v>
      </c>
      <c r="BA237" t="s">
        <v>74</v>
      </c>
      <c r="BB237">
        <v>421</v>
      </c>
      <c r="BC237">
        <v>424</v>
      </c>
      <c r="BD237" t="s">
        <v>74</v>
      </c>
      <c r="BE237" t="s">
        <v>3878</v>
      </c>
      <c r="BF237" t="str">
        <f>HYPERLINK("http://dx.doi.org/10.1080/00221686.2007.9521775","http://dx.doi.org/10.1080/00221686.2007.9521775")</f>
        <v>http://dx.doi.org/10.1080/00221686.2007.9521775</v>
      </c>
      <c r="BG237" t="s">
        <v>74</v>
      </c>
      <c r="BH237" t="s">
        <v>74</v>
      </c>
      <c r="BI237">
        <v>4</v>
      </c>
      <c r="BJ237" t="s">
        <v>3879</v>
      </c>
      <c r="BK237" t="s">
        <v>97</v>
      </c>
      <c r="BL237" t="s">
        <v>3880</v>
      </c>
      <c r="BM237" t="s">
        <v>3881</v>
      </c>
      <c r="BN237" t="s">
        <v>74</v>
      </c>
      <c r="BO237" t="s">
        <v>74</v>
      </c>
      <c r="BP237" t="s">
        <v>74</v>
      </c>
      <c r="BQ237" t="s">
        <v>74</v>
      </c>
      <c r="BR237" t="s">
        <v>100</v>
      </c>
      <c r="BS237" t="s">
        <v>3882</v>
      </c>
      <c r="BT237" t="str">
        <f>HYPERLINK("https%3A%2F%2Fwww.webofscience.com%2Fwos%2Fwoscc%2Ffull-record%2FWOS:000247804800012","View Full Record in Web of Science")</f>
        <v>View Full Record in Web of Science</v>
      </c>
    </row>
    <row r="238" spans="1:72" x14ac:dyDescent="0.15">
      <c r="A238" t="s">
        <v>72</v>
      </c>
      <c r="B238" t="s">
        <v>3883</v>
      </c>
      <c r="C238" t="s">
        <v>74</v>
      </c>
      <c r="D238" t="s">
        <v>74</v>
      </c>
      <c r="E238" t="s">
        <v>74</v>
      </c>
      <c r="F238" t="s">
        <v>3884</v>
      </c>
      <c r="G238" t="s">
        <v>74</v>
      </c>
      <c r="H238" t="s">
        <v>74</v>
      </c>
      <c r="I238" t="s">
        <v>3885</v>
      </c>
      <c r="J238" t="s">
        <v>3886</v>
      </c>
      <c r="K238" t="s">
        <v>74</v>
      </c>
      <c r="L238" t="s">
        <v>74</v>
      </c>
      <c r="M238" t="s">
        <v>78</v>
      </c>
      <c r="N238" t="s">
        <v>176</v>
      </c>
      <c r="O238" t="s">
        <v>3887</v>
      </c>
      <c r="P238" t="s">
        <v>3888</v>
      </c>
      <c r="Q238" t="s">
        <v>2547</v>
      </c>
      <c r="R238" t="s">
        <v>74</v>
      </c>
      <c r="S238" t="s">
        <v>74</v>
      </c>
      <c r="T238" t="s">
        <v>3889</v>
      </c>
      <c r="U238" t="s">
        <v>3890</v>
      </c>
      <c r="V238" t="s">
        <v>3891</v>
      </c>
      <c r="W238" t="s">
        <v>3892</v>
      </c>
      <c r="X238" t="s">
        <v>3893</v>
      </c>
      <c r="Y238" t="s">
        <v>3894</v>
      </c>
      <c r="Z238" t="s">
        <v>3895</v>
      </c>
      <c r="AA238" t="s">
        <v>3896</v>
      </c>
      <c r="AB238" t="s">
        <v>3897</v>
      </c>
      <c r="AC238" t="s">
        <v>74</v>
      </c>
      <c r="AD238" t="s">
        <v>74</v>
      </c>
      <c r="AE238" t="s">
        <v>74</v>
      </c>
      <c r="AF238" t="s">
        <v>74</v>
      </c>
      <c r="AG238">
        <v>30</v>
      </c>
      <c r="AH238">
        <v>20</v>
      </c>
      <c r="AI238">
        <v>20</v>
      </c>
      <c r="AJ238">
        <v>0</v>
      </c>
      <c r="AK238">
        <v>10</v>
      </c>
      <c r="AL238" t="s">
        <v>3898</v>
      </c>
      <c r="AM238" t="s">
        <v>3899</v>
      </c>
      <c r="AN238" t="s">
        <v>3900</v>
      </c>
      <c r="AO238" t="s">
        <v>3901</v>
      </c>
      <c r="AP238" t="s">
        <v>3902</v>
      </c>
      <c r="AQ238" t="s">
        <v>74</v>
      </c>
      <c r="AR238" t="s">
        <v>3903</v>
      </c>
      <c r="AS238" t="s">
        <v>3904</v>
      </c>
      <c r="AT238" t="s">
        <v>74</v>
      </c>
      <c r="AU238">
        <v>2007</v>
      </c>
      <c r="AV238">
        <v>66</v>
      </c>
      <c r="AW238" t="s">
        <v>74</v>
      </c>
      <c r="AX238" t="s">
        <v>74</v>
      </c>
      <c r="AY238">
        <v>1</v>
      </c>
      <c r="AZ238" t="s">
        <v>74</v>
      </c>
      <c r="BA238" t="s">
        <v>74</v>
      </c>
      <c r="BB238">
        <v>65</v>
      </c>
      <c r="BC238">
        <v>71</v>
      </c>
      <c r="BD238" t="s">
        <v>74</v>
      </c>
      <c r="BE238" t="s">
        <v>3905</v>
      </c>
      <c r="BF238" t="str">
        <f>HYPERLINK("http://dx.doi.org/10.4081/jlimnol.2007.s1.65","http://dx.doi.org/10.4081/jlimnol.2007.s1.65")</f>
        <v>http://dx.doi.org/10.4081/jlimnol.2007.s1.65</v>
      </c>
      <c r="BG238" t="s">
        <v>74</v>
      </c>
      <c r="BH238" t="s">
        <v>74</v>
      </c>
      <c r="BI238">
        <v>7</v>
      </c>
      <c r="BJ238" t="s">
        <v>3906</v>
      </c>
      <c r="BK238" t="s">
        <v>197</v>
      </c>
      <c r="BL238" t="s">
        <v>122</v>
      </c>
      <c r="BM238" t="s">
        <v>3907</v>
      </c>
      <c r="BN238" t="s">
        <v>74</v>
      </c>
      <c r="BO238" t="s">
        <v>337</v>
      </c>
      <c r="BP238" t="s">
        <v>74</v>
      </c>
      <c r="BQ238" t="s">
        <v>74</v>
      </c>
      <c r="BR238" t="s">
        <v>100</v>
      </c>
      <c r="BS238" t="s">
        <v>3908</v>
      </c>
      <c r="BT238" t="str">
        <f>HYPERLINK("https%3A%2F%2Fwww.webofscience.com%2Fwos%2Fwoscc%2Ffull-record%2FWOS:000250229400013","View Full Record in Web of Science")</f>
        <v>View Full Record in Web of Science</v>
      </c>
    </row>
    <row r="239" spans="1:72" x14ac:dyDescent="0.15">
      <c r="A239" t="s">
        <v>72</v>
      </c>
      <c r="B239" t="s">
        <v>3909</v>
      </c>
      <c r="C239" t="s">
        <v>74</v>
      </c>
      <c r="D239" t="s">
        <v>74</v>
      </c>
      <c r="E239" t="s">
        <v>74</v>
      </c>
      <c r="F239" t="s">
        <v>3910</v>
      </c>
      <c r="G239" t="s">
        <v>74</v>
      </c>
      <c r="H239" t="s">
        <v>74</v>
      </c>
      <c r="I239" t="s">
        <v>3911</v>
      </c>
      <c r="J239" t="s">
        <v>3886</v>
      </c>
      <c r="K239" t="s">
        <v>74</v>
      </c>
      <c r="L239" t="s">
        <v>74</v>
      </c>
      <c r="M239" t="s">
        <v>78</v>
      </c>
      <c r="N239" t="s">
        <v>176</v>
      </c>
      <c r="O239" t="s">
        <v>3887</v>
      </c>
      <c r="P239" t="s">
        <v>3888</v>
      </c>
      <c r="Q239" t="s">
        <v>2547</v>
      </c>
      <c r="R239" t="s">
        <v>74</v>
      </c>
      <c r="S239" t="s">
        <v>74</v>
      </c>
      <c r="T239" t="s">
        <v>3912</v>
      </c>
      <c r="U239" t="s">
        <v>3913</v>
      </c>
      <c r="V239" t="s">
        <v>3914</v>
      </c>
      <c r="W239" t="s">
        <v>3915</v>
      </c>
      <c r="X239" t="s">
        <v>3916</v>
      </c>
      <c r="Y239" t="s">
        <v>3917</v>
      </c>
      <c r="Z239" t="s">
        <v>3918</v>
      </c>
      <c r="AA239" t="s">
        <v>3919</v>
      </c>
      <c r="AB239" t="s">
        <v>3920</v>
      </c>
      <c r="AC239" t="s">
        <v>74</v>
      </c>
      <c r="AD239" t="s">
        <v>74</v>
      </c>
      <c r="AE239" t="s">
        <v>74</v>
      </c>
      <c r="AF239" t="s">
        <v>74</v>
      </c>
      <c r="AG239">
        <v>32</v>
      </c>
      <c r="AH239">
        <v>26</v>
      </c>
      <c r="AI239">
        <v>30</v>
      </c>
      <c r="AJ239">
        <v>0</v>
      </c>
      <c r="AK239">
        <v>9</v>
      </c>
      <c r="AL239" t="s">
        <v>3898</v>
      </c>
      <c r="AM239" t="s">
        <v>3899</v>
      </c>
      <c r="AN239" t="s">
        <v>3900</v>
      </c>
      <c r="AO239" t="s">
        <v>3901</v>
      </c>
      <c r="AP239" t="s">
        <v>3902</v>
      </c>
      <c r="AQ239" t="s">
        <v>74</v>
      </c>
      <c r="AR239" t="s">
        <v>3903</v>
      </c>
      <c r="AS239" t="s">
        <v>3904</v>
      </c>
      <c r="AT239" t="s">
        <v>74</v>
      </c>
      <c r="AU239">
        <v>2007</v>
      </c>
      <c r="AV239">
        <v>66</v>
      </c>
      <c r="AW239" t="s">
        <v>74</v>
      </c>
      <c r="AX239" t="s">
        <v>74</v>
      </c>
      <c r="AY239">
        <v>1</v>
      </c>
      <c r="AZ239" t="s">
        <v>74</v>
      </c>
      <c r="BA239" t="s">
        <v>74</v>
      </c>
      <c r="BB239">
        <v>90</v>
      </c>
      <c r="BC239">
        <v>96</v>
      </c>
      <c r="BD239" t="s">
        <v>74</v>
      </c>
      <c r="BE239" t="s">
        <v>3921</v>
      </c>
      <c r="BF239" t="str">
        <f>HYPERLINK("http://dx.doi.org/10.4081/jlimnol.2007.s1.90","http://dx.doi.org/10.4081/jlimnol.2007.s1.90")</f>
        <v>http://dx.doi.org/10.4081/jlimnol.2007.s1.90</v>
      </c>
      <c r="BG239" t="s">
        <v>74</v>
      </c>
      <c r="BH239" t="s">
        <v>74</v>
      </c>
      <c r="BI239">
        <v>7</v>
      </c>
      <c r="BJ239" t="s">
        <v>3906</v>
      </c>
      <c r="BK239" t="s">
        <v>197</v>
      </c>
      <c r="BL239" t="s">
        <v>122</v>
      </c>
      <c r="BM239" t="s">
        <v>3907</v>
      </c>
      <c r="BN239" t="s">
        <v>74</v>
      </c>
      <c r="BO239" t="s">
        <v>337</v>
      </c>
      <c r="BP239" t="s">
        <v>74</v>
      </c>
      <c r="BQ239" t="s">
        <v>74</v>
      </c>
      <c r="BR239" t="s">
        <v>100</v>
      </c>
      <c r="BS239" t="s">
        <v>3922</v>
      </c>
      <c r="BT239" t="str">
        <f>HYPERLINK("https%3A%2F%2Fwww.webofscience.com%2Fwos%2Fwoscc%2Ffull-record%2FWOS:000250229400017","View Full Record in Web of Science")</f>
        <v>View Full Record in Web of Science</v>
      </c>
    </row>
    <row r="240" spans="1:72" x14ac:dyDescent="0.15">
      <c r="A240" t="s">
        <v>72</v>
      </c>
      <c r="B240" t="s">
        <v>3923</v>
      </c>
      <c r="C240" t="s">
        <v>74</v>
      </c>
      <c r="D240" t="s">
        <v>74</v>
      </c>
      <c r="E240" t="s">
        <v>74</v>
      </c>
      <c r="F240" t="s">
        <v>3924</v>
      </c>
      <c r="G240" t="s">
        <v>74</v>
      </c>
      <c r="H240" t="s">
        <v>74</v>
      </c>
      <c r="I240" t="s">
        <v>3925</v>
      </c>
      <c r="J240" t="s">
        <v>3926</v>
      </c>
      <c r="K240" t="s">
        <v>74</v>
      </c>
      <c r="L240" t="s">
        <v>74</v>
      </c>
      <c r="M240" t="s">
        <v>78</v>
      </c>
      <c r="N240" t="s">
        <v>79</v>
      </c>
      <c r="O240" t="s">
        <v>74</v>
      </c>
      <c r="P240" t="s">
        <v>74</v>
      </c>
      <c r="Q240" t="s">
        <v>74</v>
      </c>
      <c r="R240" t="s">
        <v>74</v>
      </c>
      <c r="S240" t="s">
        <v>74</v>
      </c>
      <c r="T240" t="s">
        <v>74</v>
      </c>
      <c r="U240" t="s">
        <v>3927</v>
      </c>
      <c r="V240" t="s">
        <v>3928</v>
      </c>
      <c r="W240" t="s">
        <v>3929</v>
      </c>
      <c r="X240" t="s">
        <v>3930</v>
      </c>
      <c r="Y240" t="s">
        <v>3931</v>
      </c>
      <c r="Z240" t="s">
        <v>3932</v>
      </c>
      <c r="AA240" t="s">
        <v>74</v>
      </c>
      <c r="AB240" t="s">
        <v>3933</v>
      </c>
      <c r="AC240" t="s">
        <v>74</v>
      </c>
      <c r="AD240" t="s">
        <v>74</v>
      </c>
      <c r="AE240" t="s">
        <v>74</v>
      </c>
      <c r="AF240" t="s">
        <v>74</v>
      </c>
      <c r="AG240">
        <v>60</v>
      </c>
      <c r="AH240">
        <v>43</v>
      </c>
      <c r="AI240">
        <v>50</v>
      </c>
      <c r="AJ240">
        <v>0</v>
      </c>
      <c r="AK240">
        <v>12</v>
      </c>
      <c r="AL240" t="s">
        <v>3934</v>
      </c>
      <c r="AM240" t="s">
        <v>3935</v>
      </c>
      <c r="AN240" t="s">
        <v>3936</v>
      </c>
      <c r="AO240" t="s">
        <v>3937</v>
      </c>
      <c r="AP240" t="s">
        <v>3938</v>
      </c>
      <c r="AQ240" t="s">
        <v>74</v>
      </c>
      <c r="AR240" t="s">
        <v>3939</v>
      </c>
      <c r="AS240" t="s">
        <v>3940</v>
      </c>
      <c r="AT240" t="s">
        <v>661</v>
      </c>
      <c r="AU240">
        <v>2007</v>
      </c>
      <c r="AV240">
        <v>65</v>
      </c>
      <c r="AW240">
        <v>1</v>
      </c>
      <c r="AX240" t="s">
        <v>74</v>
      </c>
      <c r="AY240" t="s">
        <v>74</v>
      </c>
      <c r="AZ240" t="s">
        <v>74</v>
      </c>
      <c r="BA240" t="s">
        <v>74</v>
      </c>
      <c r="BB240">
        <v>27</v>
      </c>
      <c r="BC240">
        <v>58</v>
      </c>
      <c r="BD240" t="s">
        <v>74</v>
      </c>
      <c r="BE240" t="s">
        <v>3941</v>
      </c>
      <c r="BF240" t="str">
        <f>HYPERLINK("http://dx.doi.org/10.1357/002224007780388694","http://dx.doi.org/10.1357/002224007780388694")</f>
        <v>http://dx.doi.org/10.1357/002224007780388694</v>
      </c>
      <c r="BG240" t="s">
        <v>74</v>
      </c>
      <c r="BH240" t="s">
        <v>74</v>
      </c>
      <c r="BI240">
        <v>32</v>
      </c>
      <c r="BJ240" t="s">
        <v>1260</v>
      </c>
      <c r="BK240" t="s">
        <v>97</v>
      </c>
      <c r="BL240" t="s">
        <v>1260</v>
      </c>
      <c r="BM240" t="s">
        <v>3942</v>
      </c>
      <c r="BN240" t="s">
        <v>74</v>
      </c>
      <c r="BO240" t="s">
        <v>1384</v>
      </c>
      <c r="BP240" t="s">
        <v>74</v>
      </c>
      <c r="BQ240" t="s">
        <v>74</v>
      </c>
      <c r="BR240" t="s">
        <v>100</v>
      </c>
      <c r="BS240" t="s">
        <v>3943</v>
      </c>
      <c r="BT240" t="str">
        <f>HYPERLINK("https%3A%2F%2Fwww.webofscience.com%2Fwos%2Fwoscc%2Ffull-record%2FWOS:000245520300002","View Full Record in Web of Science")</f>
        <v>View Full Record in Web of Science</v>
      </c>
    </row>
    <row r="241" spans="1:72" x14ac:dyDescent="0.15">
      <c r="A241" t="s">
        <v>72</v>
      </c>
      <c r="B241" t="s">
        <v>3944</v>
      </c>
      <c r="C241" t="s">
        <v>74</v>
      </c>
      <c r="D241" t="s">
        <v>74</v>
      </c>
      <c r="E241" t="s">
        <v>74</v>
      </c>
      <c r="F241" t="s">
        <v>3945</v>
      </c>
      <c r="G241" t="s">
        <v>74</v>
      </c>
      <c r="H241" t="s">
        <v>74</v>
      </c>
      <c r="I241" t="s">
        <v>3946</v>
      </c>
      <c r="J241" t="s">
        <v>3926</v>
      </c>
      <c r="K241" t="s">
        <v>74</v>
      </c>
      <c r="L241" t="s">
        <v>74</v>
      </c>
      <c r="M241" t="s">
        <v>78</v>
      </c>
      <c r="N241" t="s">
        <v>79</v>
      </c>
      <c r="O241" t="s">
        <v>74</v>
      </c>
      <c r="P241" t="s">
        <v>74</v>
      </c>
      <c r="Q241" t="s">
        <v>74</v>
      </c>
      <c r="R241" t="s">
        <v>74</v>
      </c>
      <c r="S241" t="s">
        <v>74</v>
      </c>
      <c r="T241" t="s">
        <v>74</v>
      </c>
      <c r="U241" t="s">
        <v>3947</v>
      </c>
      <c r="V241" t="s">
        <v>3948</v>
      </c>
      <c r="W241" t="s">
        <v>3949</v>
      </c>
      <c r="X241" t="s">
        <v>3950</v>
      </c>
      <c r="Y241" t="s">
        <v>3951</v>
      </c>
      <c r="Z241" t="s">
        <v>3952</v>
      </c>
      <c r="AA241" t="s">
        <v>74</v>
      </c>
      <c r="AB241" t="s">
        <v>74</v>
      </c>
      <c r="AC241" t="s">
        <v>74</v>
      </c>
      <c r="AD241" t="s">
        <v>74</v>
      </c>
      <c r="AE241" t="s">
        <v>74</v>
      </c>
      <c r="AF241" t="s">
        <v>74</v>
      </c>
      <c r="AG241">
        <v>54</v>
      </c>
      <c r="AH241">
        <v>9</v>
      </c>
      <c r="AI241">
        <v>9</v>
      </c>
      <c r="AJ241">
        <v>0</v>
      </c>
      <c r="AK241">
        <v>2</v>
      </c>
      <c r="AL241" t="s">
        <v>3934</v>
      </c>
      <c r="AM241" t="s">
        <v>3935</v>
      </c>
      <c r="AN241" t="s">
        <v>3936</v>
      </c>
      <c r="AO241" t="s">
        <v>3937</v>
      </c>
      <c r="AP241" t="s">
        <v>74</v>
      </c>
      <c r="AQ241" t="s">
        <v>74</v>
      </c>
      <c r="AR241" t="s">
        <v>3939</v>
      </c>
      <c r="AS241" t="s">
        <v>3940</v>
      </c>
      <c r="AT241" t="s">
        <v>661</v>
      </c>
      <c r="AU241">
        <v>2007</v>
      </c>
      <c r="AV241">
        <v>65</v>
      </c>
      <c r="AW241">
        <v>1</v>
      </c>
      <c r="AX241" t="s">
        <v>74</v>
      </c>
      <c r="AY241" t="s">
        <v>74</v>
      </c>
      <c r="AZ241" t="s">
        <v>74</v>
      </c>
      <c r="BA241" t="s">
        <v>74</v>
      </c>
      <c r="BB241">
        <v>85</v>
      </c>
      <c r="BC241">
        <v>116</v>
      </c>
      <c r="BD241" t="s">
        <v>74</v>
      </c>
      <c r="BE241" t="s">
        <v>3953</v>
      </c>
      <c r="BF241" t="str">
        <f>HYPERLINK("http://dx.doi.org/10.1357/002224007780388748","http://dx.doi.org/10.1357/002224007780388748")</f>
        <v>http://dx.doi.org/10.1357/002224007780388748</v>
      </c>
      <c r="BG241" t="s">
        <v>74</v>
      </c>
      <c r="BH241" t="s">
        <v>74</v>
      </c>
      <c r="BI241">
        <v>32</v>
      </c>
      <c r="BJ241" t="s">
        <v>1260</v>
      </c>
      <c r="BK241" t="s">
        <v>97</v>
      </c>
      <c r="BL241" t="s">
        <v>1260</v>
      </c>
      <c r="BM241" t="s">
        <v>3942</v>
      </c>
      <c r="BN241" t="s">
        <v>74</v>
      </c>
      <c r="BO241" t="s">
        <v>74</v>
      </c>
      <c r="BP241" t="s">
        <v>74</v>
      </c>
      <c r="BQ241" t="s">
        <v>74</v>
      </c>
      <c r="BR241" t="s">
        <v>100</v>
      </c>
      <c r="BS241" t="s">
        <v>3954</v>
      </c>
      <c r="BT241" t="str">
        <f>HYPERLINK("https%3A%2F%2Fwww.webofscience.com%2Fwos%2Fwoscc%2Ffull-record%2FWOS:000245520300004","View Full Record in Web of Science")</f>
        <v>View Full Record in Web of Science</v>
      </c>
    </row>
    <row r="242" spans="1:72" x14ac:dyDescent="0.15">
      <c r="A242" t="s">
        <v>72</v>
      </c>
      <c r="B242" t="s">
        <v>3243</v>
      </c>
      <c r="C242" t="s">
        <v>74</v>
      </c>
      <c r="D242" t="s">
        <v>74</v>
      </c>
      <c r="E242" t="s">
        <v>74</v>
      </c>
      <c r="F242" t="s">
        <v>3955</v>
      </c>
      <c r="G242" t="s">
        <v>74</v>
      </c>
      <c r="H242" t="s">
        <v>74</v>
      </c>
      <c r="I242" t="s">
        <v>3956</v>
      </c>
      <c r="J242" t="s">
        <v>3926</v>
      </c>
      <c r="K242" t="s">
        <v>74</v>
      </c>
      <c r="L242" t="s">
        <v>74</v>
      </c>
      <c r="M242" t="s">
        <v>78</v>
      </c>
      <c r="N242" t="s">
        <v>79</v>
      </c>
      <c r="O242" t="s">
        <v>74</v>
      </c>
      <c r="P242" t="s">
        <v>74</v>
      </c>
      <c r="Q242" t="s">
        <v>74</v>
      </c>
      <c r="R242" t="s">
        <v>74</v>
      </c>
      <c r="S242" t="s">
        <v>74</v>
      </c>
      <c r="T242" t="s">
        <v>74</v>
      </c>
      <c r="U242" t="s">
        <v>3957</v>
      </c>
      <c r="V242" t="s">
        <v>3958</v>
      </c>
      <c r="W242" t="s">
        <v>3959</v>
      </c>
      <c r="X242" t="s">
        <v>3960</v>
      </c>
      <c r="Y242" t="s">
        <v>74</v>
      </c>
      <c r="Z242" t="s">
        <v>3961</v>
      </c>
      <c r="AA242" t="s">
        <v>74</v>
      </c>
      <c r="AB242" t="s">
        <v>74</v>
      </c>
      <c r="AC242" t="s">
        <v>74</v>
      </c>
      <c r="AD242" t="s">
        <v>74</v>
      </c>
      <c r="AE242" t="s">
        <v>74</v>
      </c>
      <c r="AF242" t="s">
        <v>74</v>
      </c>
      <c r="AG242">
        <v>18</v>
      </c>
      <c r="AH242">
        <v>4</v>
      </c>
      <c r="AI242">
        <v>4</v>
      </c>
      <c r="AJ242">
        <v>1</v>
      </c>
      <c r="AK242">
        <v>4</v>
      </c>
      <c r="AL242" t="s">
        <v>3934</v>
      </c>
      <c r="AM242" t="s">
        <v>3935</v>
      </c>
      <c r="AN242" t="s">
        <v>3936</v>
      </c>
      <c r="AO242" t="s">
        <v>3937</v>
      </c>
      <c r="AP242" t="s">
        <v>3938</v>
      </c>
      <c r="AQ242" t="s">
        <v>74</v>
      </c>
      <c r="AR242" t="s">
        <v>3939</v>
      </c>
      <c r="AS242" t="s">
        <v>3940</v>
      </c>
      <c r="AT242" t="s">
        <v>661</v>
      </c>
      <c r="AU242">
        <v>2007</v>
      </c>
      <c r="AV242">
        <v>65</v>
      </c>
      <c r="AW242">
        <v>1</v>
      </c>
      <c r="AX242" t="s">
        <v>74</v>
      </c>
      <c r="AY242" t="s">
        <v>74</v>
      </c>
      <c r="AZ242" t="s">
        <v>74</v>
      </c>
      <c r="BA242" t="s">
        <v>74</v>
      </c>
      <c r="BB242">
        <v>147</v>
      </c>
      <c r="BC242">
        <v>168</v>
      </c>
      <c r="BD242" t="s">
        <v>74</v>
      </c>
      <c r="BE242" t="s">
        <v>3962</v>
      </c>
      <c r="BF242" t="str">
        <f>HYPERLINK("http://dx.doi.org/10.1357/002224007780388711","http://dx.doi.org/10.1357/002224007780388711")</f>
        <v>http://dx.doi.org/10.1357/002224007780388711</v>
      </c>
      <c r="BG242" t="s">
        <v>74</v>
      </c>
      <c r="BH242" t="s">
        <v>74</v>
      </c>
      <c r="BI242">
        <v>22</v>
      </c>
      <c r="BJ242" t="s">
        <v>1260</v>
      </c>
      <c r="BK242" t="s">
        <v>97</v>
      </c>
      <c r="BL242" t="s">
        <v>1260</v>
      </c>
      <c r="BM242" t="s">
        <v>3942</v>
      </c>
      <c r="BN242" t="s">
        <v>74</v>
      </c>
      <c r="BO242" t="s">
        <v>74</v>
      </c>
      <c r="BP242" t="s">
        <v>74</v>
      </c>
      <c r="BQ242" t="s">
        <v>74</v>
      </c>
      <c r="BR242" t="s">
        <v>100</v>
      </c>
      <c r="BS242" t="s">
        <v>3963</v>
      </c>
      <c r="BT242" t="str">
        <f>HYPERLINK("https%3A%2F%2Fwww.webofscience.com%2Fwos%2Fwoscc%2Ffull-record%2FWOS:000245520300006","View Full Record in Web of Science")</f>
        <v>View Full Record in Web of Science</v>
      </c>
    </row>
    <row r="243" spans="1:72" x14ac:dyDescent="0.15">
      <c r="A243" t="s">
        <v>72</v>
      </c>
      <c r="B243" t="s">
        <v>3964</v>
      </c>
      <c r="C243" t="s">
        <v>74</v>
      </c>
      <c r="D243" t="s">
        <v>74</v>
      </c>
      <c r="E243" t="s">
        <v>74</v>
      </c>
      <c r="F243" t="s">
        <v>3965</v>
      </c>
      <c r="G243" t="s">
        <v>74</v>
      </c>
      <c r="H243" t="s">
        <v>74</v>
      </c>
      <c r="I243" t="s">
        <v>3966</v>
      </c>
      <c r="J243" t="s">
        <v>3967</v>
      </c>
      <c r="K243" t="s">
        <v>74</v>
      </c>
      <c r="L243" t="s">
        <v>74</v>
      </c>
      <c r="M243" t="s">
        <v>78</v>
      </c>
      <c r="N243" t="s">
        <v>79</v>
      </c>
      <c r="O243" t="s">
        <v>74</v>
      </c>
      <c r="P243" t="s">
        <v>74</v>
      </c>
      <c r="Q243" t="s">
        <v>74</v>
      </c>
      <c r="R243" t="s">
        <v>74</v>
      </c>
      <c r="S243" t="s">
        <v>74</v>
      </c>
      <c r="T243" t="s">
        <v>3968</v>
      </c>
      <c r="U243" t="s">
        <v>3969</v>
      </c>
      <c r="V243" t="s">
        <v>3970</v>
      </c>
      <c r="W243" t="s">
        <v>3971</v>
      </c>
      <c r="X243" t="s">
        <v>3972</v>
      </c>
      <c r="Y243" t="s">
        <v>3973</v>
      </c>
      <c r="Z243" t="s">
        <v>3974</v>
      </c>
      <c r="AA243" t="s">
        <v>3975</v>
      </c>
      <c r="AB243" t="s">
        <v>74</v>
      </c>
      <c r="AC243" t="s">
        <v>74</v>
      </c>
      <c r="AD243" t="s">
        <v>74</v>
      </c>
      <c r="AE243" t="s">
        <v>74</v>
      </c>
      <c r="AF243" t="s">
        <v>74</v>
      </c>
      <c r="AG243">
        <v>24</v>
      </c>
      <c r="AH243">
        <v>5</v>
      </c>
      <c r="AI243">
        <v>6</v>
      </c>
      <c r="AJ243">
        <v>0</v>
      </c>
      <c r="AK243">
        <v>4</v>
      </c>
      <c r="AL243" t="s">
        <v>2428</v>
      </c>
      <c r="AM243" t="s">
        <v>2429</v>
      </c>
      <c r="AN243" t="s">
        <v>2430</v>
      </c>
      <c r="AO243" t="s">
        <v>3976</v>
      </c>
      <c r="AP243" t="s">
        <v>3977</v>
      </c>
      <c r="AQ243" t="s">
        <v>74</v>
      </c>
      <c r="AR243" t="s">
        <v>3978</v>
      </c>
      <c r="AS243" t="s">
        <v>3979</v>
      </c>
      <c r="AT243" t="s">
        <v>74</v>
      </c>
      <c r="AU243">
        <v>2007</v>
      </c>
      <c r="AV243">
        <v>41</v>
      </c>
      <c r="AW243" t="s">
        <v>3980</v>
      </c>
      <c r="AX243" t="s">
        <v>74</v>
      </c>
      <c r="AY243" t="s">
        <v>74</v>
      </c>
      <c r="AZ243" t="s">
        <v>74</v>
      </c>
      <c r="BA243" t="s">
        <v>74</v>
      </c>
      <c r="BB243">
        <v>731</v>
      </c>
      <c r="BC243">
        <v>750</v>
      </c>
      <c r="BD243" t="s">
        <v>74</v>
      </c>
      <c r="BE243" t="s">
        <v>3981</v>
      </c>
      <c r="BF243" t="str">
        <f>HYPERLINK("http://dx.doi.org/10.1080/00222930701297772","http://dx.doi.org/10.1080/00222930701297772")</f>
        <v>http://dx.doi.org/10.1080/00222930701297772</v>
      </c>
      <c r="BG243" t="s">
        <v>74</v>
      </c>
      <c r="BH243" t="s">
        <v>74</v>
      </c>
      <c r="BI243">
        <v>20</v>
      </c>
      <c r="BJ243" t="s">
        <v>3982</v>
      </c>
      <c r="BK243" t="s">
        <v>97</v>
      </c>
      <c r="BL243" t="s">
        <v>3983</v>
      </c>
      <c r="BM243" t="s">
        <v>3984</v>
      </c>
      <c r="BN243" t="s">
        <v>74</v>
      </c>
      <c r="BO243" t="s">
        <v>1384</v>
      </c>
      <c r="BP243" t="s">
        <v>74</v>
      </c>
      <c r="BQ243" t="s">
        <v>74</v>
      </c>
      <c r="BR243" t="s">
        <v>100</v>
      </c>
      <c r="BS243" t="s">
        <v>3985</v>
      </c>
      <c r="BT243" t="str">
        <f>HYPERLINK("https%3A%2F%2Fwww.webofscience.com%2Fwos%2Fwoscc%2Ffull-record%2FWOS:000246985900001","View Full Record in Web of Science")</f>
        <v>View Full Record in Web of Science</v>
      </c>
    </row>
    <row r="244" spans="1:72" x14ac:dyDescent="0.15">
      <c r="A244" t="s">
        <v>72</v>
      </c>
      <c r="B244" t="s">
        <v>3986</v>
      </c>
      <c r="C244" t="s">
        <v>74</v>
      </c>
      <c r="D244" t="s">
        <v>74</v>
      </c>
      <c r="E244" t="s">
        <v>74</v>
      </c>
      <c r="F244" t="s">
        <v>3987</v>
      </c>
      <c r="G244" t="s">
        <v>74</v>
      </c>
      <c r="H244" t="s">
        <v>74</v>
      </c>
      <c r="I244" t="s">
        <v>3988</v>
      </c>
      <c r="J244" t="s">
        <v>3967</v>
      </c>
      <c r="K244" t="s">
        <v>74</v>
      </c>
      <c r="L244" t="s">
        <v>74</v>
      </c>
      <c r="M244" t="s">
        <v>78</v>
      </c>
      <c r="N244" t="s">
        <v>79</v>
      </c>
      <c r="O244" t="s">
        <v>74</v>
      </c>
      <c r="P244" t="s">
        <v>74</v>
      </c>
      <c r="Q244" t="s">
        <v>74</v>
      </c>
      <c r="R244" t="s">
        <v>74</v>
      </c>
      <c r="S244" t="s">
        <v>74</v>
      </c>
      <c r="T244" t="s">
        <v>3989</v>
      </c>
      <c r="U244" t="s">
        <v>3990</v>
      </c>
      <c r="V244" t="s">
        <v>3991</v>
      </c>
      <c r="W244" t="s">
        <v>3992</v>
      </c>
      <c r="X244" t="s">
        <v>3993</v>
      </c>
      <c r="Y244" t="s">
        <v>3994</v>
      </c>
      <c r="Z244" t="s">
        <v>3995</v>
      </c>
      <c r="AA244" t="s">
        <v>74</v>
      </c>
      <c r="AB244" t="s">
        <v>74</v>
      </c>
      <c r="AC244" t="s">
        <v>74</v>
      </c>
      <c r="AD244" t="s">
        <v>74</v>
      </c>
      <c r="AE244" t="s">
        <v>74</v>
      </c>
      <c r="AF244" t="s">
        <v>74</v>
      </c>
      <c r="AG244">
        <v>72</v>
      </c>
      <c r="AH244">
        <v>7</v>
      </c>
      <c r="AI244">
        <v>8</v>
      </c>
      <c r="AJ244">
        <v>0</v>
      </c>
      <c r="AK244">
        <v>4</v>
      </c>
      <c r="AL244" t="s">
        <v>2428</v>
      </c>
      <c r="AM244" t="s">
        <v>2429</v>
      </c>
      <c r="AN244" t="s">
        <v>2430</v>
      </c>
      <c r="AO244" t="s">
        <v>3976</v>
      </c>
      <c r="AP244" t="s">
        <v>3977</v>
      </c>
      <c r="AQ244" t="s">
        <v>74</v>
      </c>
      <c r="AR244" t="s">
        <v>3978</v>
      </c>
      <c r="AS244" t="s">
        <v>3979</v>
      </c>
      <c r="AT244" t="s">
        <v>74</v>
      </c>
      <c r="AU244">
        <v>2007</v>
      </c>
      <c r="AV244">
        <v>41</v>
      </c>
      <c r="AW244" t="s">
        <v>3996</v>
      </c>
      <c r="AX244" t="s">
        <v>74</v>
      </c>
      <c r="AY244" t="s">
        <v>74</v>
      </c>
      <c r="AZ244" t="s">
        <v>74</v>
      </c>
      <c r="BA244" t="s">
        <v>74</v>
      </c>
      <c r="BB244">
        <v>1259</v>
      </c>
      <c r="BC244">
        <v>1300</v>
      </c>
      <c r="BD244" t="s">
        <v>74</v>
      </c>
      <c r="BE244" t="s">
        <v>3997</v>
      </c>
      <c r="BF244" t="str">
        <f>HYPERLINK("http://dx.doi.org/10.1080/00222930701401010","http://dx.doi.org/10.1080/00222930701401010")</f>
        <v>http://dx.doi.org/10.1080/00222930701401010</v>
      </c>
      <c r="BG244" t="s">
        <v>74</v>
      </c>
      <c r="BH244" t="s">
        <v>74</v>
      </c>
      <c r="BI244">
        <v>42</v>
      </c>
      <c r="BJ244" t="s">
        <v>3982</v>
      </c>
      <c r="BK244" t="s">
        <v>97</v>
      </c>
      <c r="BL244" t="s">
        <v>3983</v>
      </c>
      <c r="BM244" t="s">
        <v>3998</v>
      </c>
      <c r="BN244" t="s">
        <v>74</v>
      </c>
      <c r="BO244" t="s">
        <v>1384</v>
      </c>
      <c r="BP244" t="s">
        <v>74</v>
      </c>
      <c r="BQ244" t="s">
        <v>74</v>
      </c>
      <c r="BR244" t="s">
        <v>100</v>
      </c>
      <c r="BS244" t="s">
        <v>3999</v>
      </c>
      <c r="BT244" t="str">
        <f>HYPERLINK("https%3A%2F%2Fwww.webofscience.com%2Fwos%2Fwoscc%2Ffull-record%2FWOS:000248296500002","View Full Record in Web of Science")</f>
        <v>View Full Record in Web of Science</v>
      </c>
    </row>
    <row r="245" spans="1:72" x14ac:dyDescent="0.15">
      <c r="A245" t="s">
        <v>72</v>
      </c>
      <c r="B245" t="s">
        <v>4000</v>
      </c>
      <c r="C245" t="s">
        <v>74</v>
      </c>
      <c r="D245" t="s">
        <v>74</v>
      </c>
      <c r="E245" t="s">
        <v>74</v>
      </c>
      <c r="F245" t="s">
        <v>4001</v>
      </c>
      <c r="G245" t="s">
        <v>74</v>
      </c>
      <c r="H245" t="s">
        <v>74</v>
      </c>
      <c r="I245" t="s">
        <v>4002</v>
      </c>
      <c r="J245" t="s">
        <v>3967</v>
      </c>
      <c r="K245" t="s">
        <v>74</v>
      </c>
      <c r="L245" t="s">
        <v>74</v>
      </c>
      <c r="M245" t="s">
        <v>78</v>
      </c>
      <c r="N245" t="s">
        <v>366</v>
      </c>
      <c r="O245" t="s">
        <v>74</v>
      </c>
      <c r="P245" t="s">
        <v>74</v>
      </c>
      <c r="Q245" t="s">
        <v>74</v>
      </c>
      <c r="R245" t="s">
        <v>74</v>
      </c>
      <c r="S245" t="s">
        <v>74</v>
      </c>
      <c r="T245" t="s">
        <v>4003</v>
      </c>
      <c r="U245" t="s">
        <v>4004</v>
      </c>
      <c r="V245" t="s">
        <v>4005</v>
      </c>
      <c r="W245" t="s">
        <v>4006</v>
      </c>
      <c r="X245" t="s">
        <v>4007</v>
      </c>
      <c r="Y245" t="s">
        <v>4008</v>
      </c>
      <c r="Z245" t="s">
        <v>4009</v>
      </c>
      <c r="AA245" t="s">
        <v>4010</v>
      </c>
      <c r="AB245" t="s">
        <v>4011</v>
      </c>
      <c r="AC245" t="s">
        <v>74</v>
      </c>
      <c r="AD245" t="s">
        <v>74</v>
      </c>
      <c r="AE245" t="s">
        <v>74</v>
      </c>
      <c r="AF245" t="s">
        <v>74</v>
      </c>
      <c r="AG245">
        <v>105</v>
      </c>
      <c r="AH245">
        <v>6</v>
      </c>
      <c r="AI245">
        <v>7</v>
      </c>
      <c r="AJ245">
        <v>0</v>
      </c>
      <c r="AK245">
        <v>2</v>
      </c>
      <c r="AL245" t="s">
        <v>2428</v>
      </c>
      <c r="AM245" t="s">
        <v>2429</v>
      </c>
      <c r="AN245" t="s">
        <v>3220</v>
      </c>
      <c r="AO245" t="s">
        <v>3976</v>
      </c>
      <c r="AP245" t="s">
        <v>74</v>
      </c>
      <c r="AQ245" t="s">
        <v>74</v>
      </c>
      <c r="AR245" t="s">
        <v>3978</v>
      </c>
      <c r="AS245" t="s">
        <v>3979</v>
      </c>
      <c r="AT245" t="s">
        <v>74</v>
      </c>
      <c r="AU245">
        <v>2007</v>
      </c>
      <c r="AV245">
        <v>41</v>
      </c>
      <c r="AW245" t="s">
        <v>4012</v>
      </c>
      <c r="AX245" t="s">
        <v>74</v>
      </c>
      <c r="AY245" t="s">
        <v>74</v>
      </c>
      <c r="AZ245" t="s">
        <v>74</v>
      </c>
      <c r="BA245" t="s">
        <v>74</v>
      </c>
      <c r="BB245">
        <v>1775</v>
      </c>
      <c r="BC245">
        <v>1810</v>
      </c>
      <c r="BD245" t="s">
        <v>74</v>
      </c>
      <c r="BE245" t="s">
        <v>4013</v>
      </c>
      <c r="BF245" t="str">
        <f>HYPERLINK("http://dx.doi.org/10.1080/00222930701500126","http://dx.doi.org/10.1080/00222930701500126")</f>
        <v>http://dx.doi.org/10.1080/00222930701500126</v>
      </c>
      <c r="BG245" t="s">
        <v>74</v>
      </c>
      <c r="BH245" t="s">
        <v>74</v>
      </c>
      <c r="BI245">
        <v>36</v>
      </c>
      <c r="BJ245" t="s">
        <v>3982</v>
      </c>
      <c r="BK245" t="s">
        <v>97</v>
      </c>
      <c r="BL245" t="s">
        <v>3983</v>
      </c>
      <c r="BM245" t="s">
        <v>4014</v>
      </c>
      <c r="BN245" t="s">
        <v>74</v>
      </c>
      <c r="BO245" t="s">
        <v>1384</v>
      </c>
      <c r="BP245" t="s">
        <v>74</v>
      </c>
      <c r="BQ245" t="s">
        <v>74</v>
      </c>
      <c r="BR245" t="s">
        <v>100</v>
      </c>
      <c r="BS245" t="s">
        <v>4015</v>
      </c>
      <c r="BT245" t="str">
        <f>HYPERLINK("https%3A%2F%2Fwww.webofscience.com%2Fwos%2Fwoscc%2Ffull-record%2FWOS:000250321600002","View Full Record in Web of Science")</f>
        <v>View Full Record in Web of Science</v>
      </c>
    </row>
    <row r="246" spans="1:72" x14ac:dyDescent="0.15">
      <c r="A246" t="s">
        <v>72</v>
      </c>
      <c r="B246" t="s">
        <v>4016</v>
      </c>
      <c r="C246" t="s">
        <v>74</v>
      </c>
      <c r="D246" t="s">
        <v>74</v>
      </c>
      <c r="E246" t="s">
        <v>74</v>
      </c>
      <c r="F246" t="s">
        <v>4017</v>
      </c>
      <c r="G246" t="s">
        <v>74</v>
      </c>
      <c r="H246" t="s">
        <v>74</v>
      </c>
      <c r="I246" t="s">
        <v>4018</v>
      </c>
      <c r="J246" t="s">
        <v>3967</v>
      </c>
      <c r="K246" t="s">
        <v>74</v>
      </c>
      <c r="L246" t="s">
        <v>74</v>
      </c>
      <c r="M246" t="s">
        <v>78</v>
      </c>
      <c r="N246" t="s">
        <v>79</v>
      </c>
      <c r="O246" t="s">
        <v>74</v>
      </c>
      <c r="P246" t="s">
        <v>74</v>
      </c>
      <c r="Q246" t="s">
        <v>74</v>
      </c>
      <c r="R246" t="s">
        <v>74</v>
      </c>
      <c r="S246" t="s">
        <v>74</v>
      </c>
      <c r="T246" t="s">
        <v>4019</v>
      </c>
      <c r="U246" t="s">
        <v>4020</v>
      </c>
      <c r="V246" t="s">
        <v>4021</v>
      </c>
      <c r="W246" t="s">
        <v>4022</v>
      </c>
      <c r="X246" t="s">
        <v>4023</v>
      </c>
      <c r="Y246" t="s">
        <v>4024</v>
      </c>
      <c r="Z246" t="s">
        <v>4025</v>
      </c>
      <c r="AA246" t="s">
        <v>4026</v>
      </c>
      <c r="AB246" t="s">
        <v>4027</v>
      </c>
      <c r="AC246" t="s">
        <v>74</v>
      </c>
      <c r="AD246" t="s">
        <v>74</v>
      </c>
      <c r="AE246" t="s">
        <v>74</v>
      </c>
      <c r="AF246" t="s">
        <v>74</v>
      </c>
      <c r="AG246">
        <v>87</v>
      </c>
      <c r="AH246">
        <v>20</v>
      </c>
      <c r="AI246">
        <v>22</v>
      </c>
      <c r="AJ246">
        <v>3</v>
      </c>
      <c r="AK246">
        <v>5</v>
      </c>
      <c r="AL246" t="s">
        <v>2428</v>
      </c>
      <c r="AM246" t="s">
        <v>2429</v>
      </c>
      <c r="AN246" t="s">
        <v>2430</v>
      </c>
      <c r="AO246" t="s">
        <v>3976</v>
      </c>
      <c r="AP246" t="s">
        <v>3977</v>
      </c>
      <c r="AQ246" t="s">
        <v>74</v>
      </c>
      <c r="AR246" t="s">
        <v>3978</v>
      </c>
      <c r="AS246" t="s">
        <v>3979</v>
      </c>
      <c r="AT246" t="s">
        <v>74</v>
      </c>
      <c r="AU246">
        <v>2007</v>
      </c>
      <c r="AV246">
        <v>41</v>
      </c>
      <c r="AW246" t="s">
        <v>4028</v>
      </c>
      <c r="AX246" t="s">
        <v>74</v>
      </c>
      <c r="AY246" t="s">
        <v>74</v>
      </c>
      <c r="AZ246" t="s">
        <v>74</v>
      </c>
      <c r="BA246" t="s">
        <v>74</v>
      </c>
      <c r="BB246">
        <v>2569</v>
      </c>
      <c r="BC246">
        <v>2620</v>
      </c>
      <c r="BD246" t="s">
        <v>74</v>
      </c>
      <c r="BE246" t="s">
        <v>4029</v>
      </c>
      <c r="BF246" t="str">
        <f>HYPERLINK("http://dx.doi.org/10.1080/00222930701689937","http://dx.doi.org/10.1080/00222930701689937")</f>
        <v>http://dx.doi.org/10.1080/00222930701689937</v>
      </c>
      <c r="BG246" t="s">
        <v>74</v>
      </c>
      <c r="BH246" t="s">
        <v>74</v>
      </c>
      <c r="BI246">
        <v>52</v>
      </c>
      <c r="BJ246" t="s">
        <v>3982</v>
      </c>
      <c r="BK246" t="s">
        <v>97</v>
      </c>
      <c r="BL246" t="s">
        <v>3983</v>
      </c>
      <c r="BM246" t="s">
        <v>4030</v>
      </c>
      <c r="BN246" t="s">
        <v>74</v>
      </c>
      <c r="BO246" t="s">
        <v>1384</v>
      </c>
      <c r="BP246" t="s">
        <v>74</v>
      </c>
      <c r="BQ246" t="s">
        <v>74</v>
      </c>
      <c r="BR246" t="s">
        <v>100</v>
      </c>
      <c r="BS246" t="s">
        <v>4031</v>
      </c>
      <c r="BT246" t="str">
        <f>HYPERLINK("https%3A%2F%2Fwww.webofscience.com%2Fwos%2Fwoscc%2Ffull-record%2FWOS:000252053600003","View Full Record in Web of Science")</f>
        <v>View Full Record in Web of Science</v>
      </c>
    </row>
    <row r="247" spans="1:72" x14ac:dyDescent="0.15">
      <c r="A247" t="s">
        <v>72</v>
      </c>
      <c r="B247" t="s">
        <v>4032</v>
      </c>
      <c r="C247" t="s">
        <v>74</v>
      </c>
      <c r="D247" t="s">
        <v>74</v>
      </c>
      <c r="E247" t="s">
        <v>74</v>
      </c>
      <c r="F247" t="s">
        <v>4033</v>
      </c>
      <c r="G247" t="s">
        <v>74</v>
      </c>
      <c r="H247" t="s">
        <v>74</v>
      </c>
      <c r="I247" t="s">
        <v>4034</v>
      </c>
      <c r="J247" t="s">
        <v>4035</v>
      </c>
      <c r="K247" t="s">
        <v>74</v>
      </c>
      <c r="L247" t="s">
        <v>74</v>
      </c>
      <c r="M247" t="s">
        <v>78</v>
      </c>
      <c r="N247" t="s">
        <v>4036</v>
      </c>
      <c r="O247" t="s">
        <v>74</v>
      </c>
      <c r="P247" t="s">
        <v>74</v>
      </c>
      <c r="Q247" t="s">
        <v>74</v>
      </c>
      <c r="R247" t="s">
        <v>74</v>
      </c>
      <c r="S247" t="s">
        <v>74</v>
      </c>
      <c r="T247" t="s">
        <v>74</v>
      </c>
      <c r="U247" t="s">
        <v>74</v>
      </c>
      <c r="V247" t="s">
        <v>74</v>
      </c>
      <c r="W247" t="s">
        <v>4037</v>
      </c>
      <c r="X247" t="s">
        <v>4038</v>
      </c>
      <c r="Y247" t="s">
        <v>4039</v>
      </c>
      <c r="Z247" t="s">
        <v>74</v>
      </c>
      <c r="AA247" t="s">
        <v>74</v>
      </c>
      <c r="AB247" t="s">
        <v>74</v>
      </c>
      <c r="AC247" t="s">
        <v>74</v>
      </c>
      <c r="AD247" t="s">
        <v>74</v>
      </c>
      <c r="AE247" t="s">
        <v>74</v>
      </c>
      <c r="AF247" t="s">
        <v>74</v>
      </c>
      <c r="AG247">
        <v>13</v>
      </c>
      <c r="AH247">
        <v>0</v>
      </c>
      <c r="AI247">
        <v>0</v>
      </c>
      <c r="AJ247">
        <v>0</v>
      </c>
      <c r="AK247">
        <v>1</v>
      </c>
      <c r="AL247" t="s">
        <v>4040</v>
      </c>
      <c r="AM247" t="s">
        <v>2429</v>
      </c>
      <c r="AN247" t="s">
        <v>4041</v>
      </c>
      <c r="AO247" t="s">
        <v>4042</v>
      </c>
      <c r="AP247" t="s">
        <v>4043</v>
      </c>
      <c r="AQ247" t="s">
        <v>74</v>
      </c>
      <c r="AR247" t="s">
        <v>4044</v>
      </c>
      <c r="AS247" t="s">
        <v>4045</v>
      </c>
      <c r="AT247" t="s">
        <v>74</v>
      </c>
      <c r="AU247">
        <v>2007</v>
      </c>
      <c r="AV247">
        <v>27</v>
      </c>
      <c r="AW247">
        <v>3</v>
      </c>
      <c r="AX247" t="s">
        <v>74</v>
      </c>
      <c r="AY247" t="s">
        <v>74</v>
      </c>
      <c r="AZ247" t="s">
        <v>74</v>
      </c>
      <c r="BA247" t="s">
        <v>74</v>
      </c>
      <c r="BB247">
        <v>61</v>
      </c>
      <c r="BC247">
        <v>71</v>
      </c>
      <c r="BD247" t="s">
        <v>74</v>
      </c>
      <c r="BE247" t="s">
        <v>4046</v>
      </c>
      <c r="BF247" t="str">
        <f>HYPERLINK("http://dx.doi.org/10.1300/J075v27n03_05","http://dx.doi.org/10.1300/J075v27n03_05")</f>
        <v>http://dx.doi.org/10.1300/J075v27n03_05</v>
      </c>
      <c r="BG247" t="s">
        <v>74</v>
      </c>
      <c r="BH247" t="s">
        <v>74</v>
      </c>
      <c r="BI247">
        <v>11</v>
      </c>
      <c r="BJ247" t="s">
        <v>4047</v>
      </c>
      <c r="BK247" t="s">
        <v>4048</v>
      </c>
      <c r="BL247" t="s">
        <v>4049</v>
      </c>
      <c r="BM247" t="s">
        <v>4050</v>
      </c>
      <c r="BN247" t="s">
        <v>74</v>
      </c>
      <c r="BO247" t="s">
        <v>74</v>
      </c>
      <c r="BP247" t="s">
        <v>74</v>
      </c>
      <c r="BQ247" t="s">
        <v>74</v>
      </c>
      <c r="BR247" t="s">
        <v>100</v>
      </c>
      <c r="BS247" t="s">
        <v>4051</v>
      </c>
      <c r="BT247" t="str">
        <f>HYPERLINK("https%3A%2F%2Fwww.webofscience.com%2Fwos%2Fwoscc%2Ffull-record%2FWOS:000250968000005","View Full Record in Web of Science")</f>
        <v>View Full Record in Web of Science</v>
      </c>
    </row>
    <row r="248" spans="1:72" x14ac:dyDescent="0.15">
      <c r="A248" t="s">
        <v>72</v>
      </c>
      <c r="B248" t="s">
        <v>4052</v>
      </c>
      <c r="C248" t="s">
        <v>74</v>
      </c>
      <c r="D248" t="s">
        <v>74</v>
      </c>
      <c r="E248" t="s">
        <v>74</v>
      </c>
      <c r="F248" t="s">
        <v>4053</v>
      </c>
      <c r="G248" t="s">
        <v>74</v>
      </c>
      <c r="H248" t="s">
        <v>74</v>
      </c>
      <c r="I248" t="s">
        <v>4054</v>
      </c>
      <c r="J248" t="s">
        <v>4055</v>
      </c>
      <c r="K248" t="s">
        <v>74</v>
      </c>
      <c r="L248" t="s">
        <v>74</v>
      </c>
      <c r="M248" t="s">
        <v>78</v>
      </c>
      <c r="N248" t="s">
        <v>79</v>
      </c>
      <c r="O248" t="s">
        <v>74</v>
      </c>
      <c r="P248" t="s">
        <v>74</v>
      </c>
      <c r="Q248" t="s">
        <v>74</v>
      </c>
      <c r="R248" t="s">
        <v>74</v>
      </c>
      <c r="S248" t="s">
        <v>74</v>
      </c>
      <c r="T248" t="s">
        <v>74</v>
      </c>
      <c r="U248" t="s">
        <v>4056</v>
      </c>
      <c r="V248" t="s">
        <v>4057</v>
      </c>
      <c r="W248" t="s">
        <v>4058</v>
      </c>
      <c r="X248" t="s">
        <v>4059</v>
      </c>
      <c r="Y248" t="s">
        <v>4060</v>
      </c>
      <c r="Z248" t="s">
        <v>4061</v>
      </c>
      <c r="AA248" t="s">
        <v>4062</v>
      </c>
      <c r="AB248" t="s">
        <v>4063</v>
      </c>
      <c r="AC248" t="s">
        <v>74</v>
      </c>
      <c r="AD248" t="s">
        <v>74</v>
      </c>
      <c r="AE248" t="s">
        <v>74</v>
      </c>
      <c r="AF248" t="s">
        <v>74</v>
      </c>
      <c r="AG248">
        <v>70</v>
      </c>
      <c r="AH248">
        <v>30</v>
      </c>
      <c r="AI248">
        <v>33</v>
      </c>
      <c r="AJ248">
        <v>1</v>
      </c>
      <c r="AK248">
        <v>13</v>
      </c>
      <c r="AL248" t="s">
        <v>4064</v>
      </c>
      <c r="AM248" t="s">
        <v>4065</v>
      </c>
      <c r="AN248" t="s">
        <v>4066</v>
      </c>
      <c r="AO248" t="s">
        <v>4067</v>
      </c>
      <c r="AP248" t="s">
        <v>4068</v>
      </c>
      <c r="AQ248" t="s">
        <v>74</v>
      </c>
      <c r="AR248" t="s">
        <v>4069</v>
      </c>
      <c r="AS248" t="s">
        <v>4070</v>
      </c>
      <c r="AT248" t="s">
        <v>661</v>
      </c>
      <c r="AU248">
        <v>2007</v>
      </c>
      <c r="AV248">
        <v>37</v>
      </c>
      <c r="AW248">
        <v>1</v>
      </c>
      <c r="AX248" t="s">
        <v>74</v>
      </c>
      <c r="AY248" t="s">
        <v>74</v>
      </c>
      <c r="AZ248" t="s">
        <v>74</v>
      </c>
      <c r="BA248" t="s">
        <v>74</v>
      </c>
      <c r="BB248">
        <v>31</v>
      </c>
      <c r="BC248">
        <v>49</v>
      </c>
      <c r="BD248" t="s">
        <v>74</v>
      </c>
      <c r="BE248" t="s">
        <v>4071</v>
      </c>
      <c r="BF248" t="str">
        <f>HYPERLINK("http://dx.doi.org/10.1175/JPO2985.1","http://dx.doi.org/10.1175/JPO2985.1")</f>
        <v>http://dx.doi.org/10.1175/JPO2985.1</v>
      </c>
      <c r="BG248" t="s">
        <v>74</v>
      </c>
      <c r="BH248" t="s">
        <v>74</v>
      </c>
      <c r="BI248">
        <v>19</v>
      </c>
      <c r="BJ248" t="s">
        <v>1260</v>
      </c>
      <c r="BK248" t="s">
        <v>97</v>
      </c>
      <c r="BL248" t="s">
        <v>1260</v>
      </c>
      <c r="BM248" t="s">
        <v>4072</v>
      </c>
      <c r="BN248" t="s">
        <v>74</v>
      </c>
      <c r="BO248" t="s">
        <v>1314</v>
      </c>
      <c r="BP248" t="s">
        <v>74</v>
      </c>
      <c r="BQ248" t="s">
        <v>74</v>
      </c>
      <c r="BR248" t="s">
        <v>100</v>
      </c>
      <c r="BS248" t="s">
        <v>4073</v>
      </c>
      <c r="BT248" t="str">
        <f>HYPERLINK("https%3A%2F%2Fwww.webofscience.com%2Fwos%2Fwoscc%2Ffull-record%2FWOS:000243836300003","View Full Record in Web of Science")</f>
        <v>View Full Record in Web of Science</v>
      </c>
    </row>
    <row r="249" spans="1:72" x14ac:dyDescent="0.15">
      <c r="A249" t="s">
        <v>72</v>
      </c>
      <c r="B249" t="s">
        <v>4074</v>
      </c>
      <c r="C249" t="s">
        <v>74</v>
      </c>
      <c r="D249" t="s">
        <v>74</v>
      </c>
      <c r="E249" t="s">
        <v>74</v>
      </c>
      <c r="F249" t="s">
        <v>4075</v>
      </c>
      <c r="G249" t="s">
        <v>74</v>
      </c>
      <c r="H249" t="s">
        <v>74</v>
      </c>
      <c r="I249" t="s">
        <v>4076</v>
      </c>
      <c r="J249" t="s">
        <v>4055</v>
      </c>
      <c r="K249" t="s">
        <v>74</v>
      </c>
      <c r="L249" t="s">
        <v>74</v>
      </c>
      <c r="M249" t="s">
        <v>78</v>
      </c>
      <c r="N249" t="s">
        <v>79</v>
      </c>
      <c r="O249" t="s">
        <v>74</v>
      </c>
      <c r="P249" t="s">
        <v>74</v>
      </c>
      <c r="Q249" t="s">
        <v>74</v>
      </c>
      <c r="R249" t="s">
        <v>74</v>
      </c>
      <c r="S249" t="s">
        <v>74</v>
      </c>
      <c r="T249" t="s">
        <v>74</v>
      </c>
      <c r="U249" t="s">
        <v>4077</v>
      </c>
      <c r="V249" t="s">
        <v>4078</v>
      </c>
      <c r="W249" t="s">
        <v>4079</v>
      </c>
      <c r="X249" t="s">
        <v>4080</v>
      </c>
      <c r="Y249" t="s">
        <v>4081</v>
      </c>
      <c r="Z249" t="s">
        <v>4082</v>
      </c>
      <c r="AA249" t="s">
        <v>74</v>
      </c>
      <c r="AB249" t="s">
        <v>74</v>
      </c>
      <c r="AC249" t="s">
        <v>74</v>
      </c>
      <c r="AD249" t="s">
        <v>74</v>
      </c>
      <c r="AE249" t="s">
        <v>74</v>
      </c>
      <c r="AF249" t="s">
        <v>74</v>
      </c>
      <c r="AG249">
        <v>38</v>
      </c>
      <c r="AH249">
        <v>10</v>
      </c>
      <c r="AI249">
        <v>10</v>
      </c>
      <c r="AJ249">
        <v>0</v>
      </c>
      <c r="AK249">
        <v>3</v>
      </c>
      <c r="AL249" t="s">
        <v>4064</v>
      </c>
      <c r="AM249" t="s">
        <v>4065</v>
      </c>
      <c r="AN249" t="s">
        <v>4066</v>
      </c>
      <c r="AO249" t="s">
        <v>4067</v>
      </c>
      <c r="AP249" t="s">
        <v>4068</v>
      </c>
      <c r="AQ249" t="s">
        <v>74</v>
      </c>
      <c r="AR249" t="s">
        <v>4069</v>
      </c>
      <c r="AS249" t="s">
        <v>4070</v>
      </c>
      <c r="AT249" t="s">
        <v>661</v>
      </c>
      <c r="AU249">
        <v>2007</v>
      </c>
      <c r="AV249">
        <v>37</v>
      </c>
      <c r="AW249">
        <v>1</v>
      </c>
      <c r="AX249" t="s">
        <v>74</v>
      </c>
      <c r="AY249" t="s">
        <v>74</v>
      </c>
      <c r="AZ249" t="s">
        <v>74</v>
      </c>
      <c r="BA249" t="s">
        <v>74</v>
      </c>
      <c r="BB249">
        <v>50</v>
      </c>
      <c r="BC249">
        <v>59</v>
      </c>
      <c r="BD249" t="s">
        <v>74</v>
      </c>
      <c r="BE249" t="s">
        <v>4083</v>
      </c>
      <c r="BF249" t="str">
        <f>HYPERLINK("http://dx.doi.org/10.1175/JPO2981.1","http://dx.doi.org/10.1175/JPO2981.1")</f>
        <v>http://dx.doi.org/10.1175/JPO2981.1</v>
      </c>
      <c r="BG249" t="s">
        <v>74</v>
      </c>
      <c r="BH249" t="s">
        <v>74</v>
      </c>
      <c r="BI249">
        <v>10</v>
      </c>
      <c r="BJ249" t="s">
        <v>1260</v>
      </c>
      <c r="BK249" t="s">
        <v>97</v>
      </c>
      <c r="BL249" t="s">
        <v>1260</v>
      </c>
      <c r="BM249" t="s">
        <v>4072</v>
      </c>
      <c r="BN249" t="s">
        <v>74</v>
      </c>
      <c r="BO249" t="s">
        <v>2155</v>
      </c>
      <c r="BP249" t="s">
        <v>74</v>
      </c>
      <c r="BQ249" t="s">
        <v>74</v>
      </c>
      <c r="BR249" t="s">
        <v>100</v>
      </c>
      <c r="BS249" t="s">
        <v>4084</v>
      </c>
      <c r="BT249" t="str">
        <f>HYPERLINK("https%3A%2F%2Fwww.webofscience.com%2Fwos%2Fwoscc%2Ffull-record%2FWOS:000243836300004","View Full Record in Web of Science")</f>
        <v>View Full Record in Web of Science</v>
      </c>
    </row>
    <row r="250" spans="1:72" x14ac:dyDescent="0.15">
      <c r="A250" t="s">
        <v>72</v>
      </c>
      <c r="B250" t="s">
        <v>4085</v>
      </c>
      <c r="C250" t="s">
        <v>74</v>
      </c>
      <c r="D250" t="s">
        <v>74</v>
      </c>
      <c r="E250" t="s">
        <v>74</v>
      </c>
      <c r="F250" t="s">
        <v>4086</v>
      </c>
      <c r="G250" t="s">
        <v>74</v>
      </c>
      <c r="H250" t="s">
        <v>74</v>
      </c>
      <c r="I250" t="s">
        <v>4087</v>
      </c>
      <c r="J250" t="s">
        <v>4055</v>
      </c>
      <c r="K250" t="s">
        <v>74</v>
      </c>
      <c r="L250" t="s">
        <v>74</v>
      </c>
      <c r="M250" t="s">
        <v>78</v>
      </c>
      <c r="N250" t="s">
        <v>79</v>
      </c>
      <c r="O250" t="s">
        <v>74</v>
      </c>
      <c r="P250" t="s">
        <v>74</v>
      </c>
      <c r="Q250" t="s">
        <v>74</v>
      </c>
      <c r="R250" t="s">
        <v>74</v>
      </c>
      <c r="S250" t="s">
        <v>74</v>
      </c>
      <c r="T250" t="s">
        <v>74</v>
      </c>
      <c r="U250" t="s">
        <v>4088</v>
      </c>
      <c r="V250" t="s">
        <v>4089</v>
      </c>
      <c r="W250" t="s">
        <v>4090</v>
      </c>
      <c r="X250" t="s">
        <v>4091</v>
      </c>
      <c r="Y250" t="s">
        <v>4092</v>
      </c>
      <c r="Z250" t="s">
        <v>4093</v>
      </c>
      <c r="AA250" t="s">
        <v>4094</v>
      </c>
      <c r="AB250" t="s">
        <v>4095</v>
      </c>
      <c r="AC250" t="s">
        <v>4096</v>
      </c>
      <c r="AD250" t="s">
        <v>158</v>
      </c>
      <c r="AE250" t="s">
        <v>74</v>
      </c>
      <c r="AF250" t="s">
        <v>74</v>
      </c>
      <c r="AG250">
        <v>27</v>
      </c>
      <c r="AH250">
        <v>19</v>
      </c>
      <c r="AI250">
        <v>21</v>
      </c>
      <c r="AJ250">
        <v>1</v>
      </c>
      <c r="AK250">
        <v>12</v>
      </c>
      <c r="AL250" t="s">
        <v>4064</v>
      </c>
      <c r="AM250" t="s">
        <v>4065</v>
      </c>
      <c r="AN250" t="s">
        <v>4097</v>
      </c>
      <c r="AO250" t="s">
        <v>4067</v>
      </c>
      <c r="AP250" t="s">
        <v>4068</v>
      </c>
      <c r="AQ250" t="s">
        <v>74</v>
      </c>
      <c r="AR250" t="s">
        <v>4069</v>
      </c>
      <c r="AS250" t="s">
        <v>4070</v>
      </c>
      <c r="AT250" t="s">
        <v>661</v>
      </c>
      <c r="AU250">
        <v>2007</v>
      </c>
      <c r="AV250">
        <v>37</v>
      </c>
      <c r="AW250">
        <v>1</v>
      </c>
      <c r="AX250" t="s">
        <v>74</v>
      </c>
      <c r="AY250" t="s">
        <v>74</v>
      </c>
      <c r="AZ250" t="s">
        <v>74</v>
      </c>
      <c r="BA250" t="s">
        <v>74</v>
      </c>
      <c r="BB250">
        <v>71</v>
      </c>
      <c r="BC250">
        <v>83</v>
      </c>
      <c r="BD250" t="s">
        <v>74</v>
      </c>
      <c r="BE250" t="s">
        <v>4098</v>
      </c>
      <c r="BF250" t="str">
        <f>HYPERLINK("http://dx.doi.org/10.1175/JPO2979.1","http://dx.doi.org/10.1175/JPO2979.1")</f>
        <v>http://dx.doi.org/10.1175/JPO2979.1</v>
      </c>
      <c r="BG250" t="s">
        <v>74</v>
      </c>
      <c r="BH250" t="s">
        <v>74</v>
      </c>
      <c r="BI250">
        <v>13</v>
      </c>
      <c r="BJ250" t="s">
        <v>1260</v>
      </c>
      <c r="BK250" t="s">
        <v>97</v>
      </c>
      <c r="BL250" t="s">
        <v>1260</v>
      </c>
      <c r="BM250" t="s">
        <v>4072</v>
      </c>
      <c r="BN250" t="s">
        <v>74</v>
      </c>
      <c r="BO250" t="s">
        <v>2155</v>
      </c>
      <c r="BP250" t="s">
        <v>74</v>
      </c>
      <c r="BQ250" t="s">
        <v>74</v>
      </c>
      <c r="BR250" t="s">
        <v>100</v>
      </c>
      <c r="BS250" t="s">
        <v>4099</v>
      </c>
      <c r="BT250" t="str">
        <f>HYPERLINK("https%3A%2F%2Fwww.webofscience.com%2Fwos%2Fwoscc%2Ffull-record%2FWOS:000243836300006","View Full Record in Web of Science")</f>
        <v>View Full Record in Web of Science</v>
      </c>
    </row>
    <row r="251" spans="1:72" x14ac:dyDescent="0.15">
      <c r="A251" t="s">
        <v>72</v>
      </c>
      <c r="B251" t="s">
        <v>4100</v>
      </c>
      <c r="C251" t="s">
        <v>74</v>
      </c>
      <c r="D251" t="s">
        <v>74</v>
      </c>
      <c r="E251" t="s">
        <v>74</v>
      </c>
      <c r="F251" t="s">
        <v>4101</v>
      </c>
      <c r="G251" t="s">
        <v>74</v>
      </c>
      <c r="H251" t="s">
        <v>4102</v>
      </c>
      <c r="I251" t="s">
        <v>4103</v>
      </c>
      <c r="J251" t="s">
        <v>4104</v>
      </c>
      <c r="K251" t="s">
        <v>74</v>
      </c>
      <c r="L251" t="s">
        <v>74</v>
      </c>
      <c r="M251" t="s">
        <v>78</v>
      </c>
      <c r="N251" t="s">
        <v>366</v>
      </c>
      <c r="O251" t="s">
        <v>74</v>
      </c>
      <c r="P251" t="s">
        <v>74</v>
      </c>
      <c r="Q251" t="s">
        <v>74</v>
      </c>
      <c r="R251" t="s">
        <v>74</v>
      </c>
      <c r="S251" t="s">
        <v>74</v>
      </c>
      <c r="T251" t="s">
        <v>4105</v>
      </c>
      <c r="U251" t="s">
        <v>4106</v>
      </c>
      <c r="V251" t="s">
        <v>4107</v>
      </c>
      <c r="W251" t="s">
        <v>4108</v>
      </c>
      <c r="X251" t="s">
        <v>4109</v>
      </c>
      <c r="Y251" t="s">
        <v>4110</v>
      </c>
      <c r="Z251" t="s">
        <v>4111</v>
      </c>
      <c r="AA251" t="s">
        <v>4112</v>
      </c>
      <c r="AB251" t="s">
        <v>4113</v>
      </c>
      <c r="AC251" t="s">
        <v>74</v>
      </c>
      <c r="AD251" t="s">
        <v>74</v>
      </c>
      <c r="AE251" t="s">
        <v>74</v>
      </c>
      <c r="AF251" t="s">
        <v>74</v>
      </c>
      <c r="AG251">
        <v>161</v>
      </c>
      <c r="AH251">
        <v>255</v>
      </c>
      <c r="AI251">
        <v>264</v>
      </c>
      <c r="AJ251">
        <v>0</v>
      </c>
      <c r="AK251">
        <v>88</v>
      </c>
      <c r="AL251" t="s">
        <v>159</v>
      </c>
      <c r="AM251" t="s">
        <v>160</v>
      </c>
      <c r="AN251" t="s">
        <v>161</v>
      </c>
      <c r="AO251" t="s">
        <v>4114</v>
      </c>
      <c r="AP251" t="s">
        <v>4115</v>
      </c>
      <c r="AQ251" t="s">
        <v>74</v>
      </c>
      <c r="AR251" t="s">
        <v>4116</v>
      </c>
      <c r="AS251" t="s">
        <v>4117</v>
      </c>
      <c r="AT251" t="s">
        <v>661</v>
      </c>
      <c r="AU251">
        <v>2007</v>
      </c>
      <c r="AV251">
        <v>22</v>
      </c>
      <c r="AW251">
        <v>1</v>
      </c>
      <c r="AX251" t="s">
        <v>74</v>
      </c>
      <c r="AY251" t="s">
        <v>74</v>
      </c>
      <c r="AZ251" t="s">
        <v>74</v>
      </c>
      <c r="BA251" t="s">
        <v>74</v>
      </c>
      <c r="BB251">
        <v>9</v>
      </c>
      <c r="BC251">
        <v>35</v>
      </c>
      <c r="BD251" t="s">
        <v>74</v>
      </c>
      <c r="BE251" t="s">
        <v>4118</v>
      </c>
      <c r="BF251" t="str">
        <f>HYPERLINK("http://dx.doi.org/10.1002/jqs.1079","http://dx.doi.org/10.1002/jqs.1079")</f>
        <v>http://dx.doi.org/10.1002/jqs.1079</v>
      </c>
      <c r="BG251" t="s">
        <v>74</v>
      </c>
      <c r="BH251" t="s">
        <v>74</v>
      </c>
      <c r="BI251">
        <v>27</v>
      </c>
      <c r="BJ251" t="s">
        <v>663</v>
      </c>
      <c r="BK251" t="s">
        <v>97</v>
      </c>
      <c r="BL251" t="s">
        <v>664</v>
      </c>
      <c r="BM251" t="s">
        <v>4119</v>
      </c>
      <c r="BN251" t="s">
        <v>74</v>
      </c>
      <c r="BO251" t="s">
        <v>74</v>
      </c>
      <c r="BP251" t="s">
        <v>74</v>
      </c>
      <c r="BQ251" t="s">
        <v>74</v>
      </c>
      <c r="BR251" t="s">
        <v>100</v>
      </c>
      <c r="BS251" t="s">
        <v>4120</v>
      </c>
      <c r="BT251" t="str">
        <f>HYPERLINK("https%3A%2F%2Fwww.webofscience.com%2Fwos%2Fwoscc%2Ffull-record%2FWOS:000243598800003","View Full Record in Web of Science")</f>
        <v>View Full Record in Web of Science</v>
      </c>
    </row>
    <row r="252" spans="1:72" x14ac:dyDescent="0.15">
      <c r="A252" t="s">
        <v>72</v>
      </c>
      <c r="B252" t="s">
        <v>4121</v>
      </c>
      <c r="C252" t="s">
        <v>74</v>
      </c>
      <c r="D252" t="s">
        <v>74</v>
      </c>
      <c r="E252" t="s">
        <v>74</v>
      </c>
      <c r="F252" t="s">
        <v>4122</v>
      </c>
      <c r="G252" t="s">
        <v>74</v>
      </c>
      <c r="H252" t="s">
        <v>74</v>
      </c>
      <c r="I252" t="s">
        <v>4123</v>
      </c>
      <c r="J252" t="s">
        <v>4124</v>
      </c>
      <c r="K252" t="s">
        <v>74</v>
      </c>
      <c r="L252" t="s">
        <v>74</v>
      </c>
      <c r="M252" t="s">
        <v>78</v>
      </c>
      <c r="N252" t="s">
        <v>79</v>
      </c>
      <c r="O252" t="s">
        <v>74</v>
      </c>
      <c r="P252" t="s">
        <v>74</v>
      </c>
      <c r="Q252" t="s">
        <v>74</v>
      </c>
      <c r="R252" t="s">
        <v>74</v>
      </c>
      <c r="S252" t="s">
        <v>74</v>
      </c>
      <c r="T252" t="s">
        <v>74</v>
      </c>
      <c r="U252" t="s">
        <v>4125</v>
      </c>
      <c r="V252" t="s">
        <v>4126</v>
      </c>
      <c r="W252" t="s">
        <v>4127</v>
      </c>
      <c r="X252" t="s">
        <v>4128</v>
      </c>
      <c r="Y252" t="s">
        <v>4129</v>
      </c>
      <c r="Z252" t="s">
        <v>4130</v>
      </c>
      <c r="AA252" t="s">
        <v>1791</v>
      </c>
      <c r="AB252" t="s">
        <v>4131</v>
      </c>
      <c r="AC252" t="s">
        <v>74</v>
      </c>
      <c r="AD252" t="s">
        <v>74</v>
      </c>
      <c r="AE252" t="s">
        <v>74</v>
      </c>
      <c r="AF252" t="s">
        <v>74</v>
      </c>
      <c r="AG252">
        <v>47</v>
      </c>
      <c r="AH252">
        <v>23</v>
      </c>
      <c r="AI252">
        <v>24</v>
      </c>
      <c r="AJ252">
        <v>0</v>
      </c>
      <c r="AK252">
        <v>7</v>
      </c>
      <c r="AL252" t="s">
        <v>4132</v>
      </c>
      <c r="AM252" t="s">
        <v>1928</v>
      </c>
      <c r="AN252" t="s">
        <v>4133</v>
      </c>
      <c r="AO252" t="s">
        <v>4134</v>
      </c>
      <c r="AP252" t="s">
        <v>4135</v>
      </c>
      <c r="AQ252" t="s">
        <v>74</v>
      </c>
      <c r="AR252" t="s">
        <v>4136</v>
      </c>
      <c r="AS252" t="s">
        <v>4137</v>
      </c>
      <c r="AT252" t="s">
        <v>661</v>
      </c>
      <c r="AU252">
        <v>2007</v>
      </c>
      <c r="AV252">
        <v>164</v>
      </c>
      <c r="AW252" t="s">
        <v>74</v>
      </c>
      <c r="AX252">
        <v>1</v>
      </c>
      <c r="AY252" t="s">
        <v>74</v>
      </c>
      <c r="AZ252" t="s">
        <v>74</v>
      </c>
      <c r="BA252" t="s">
        <v>74</v>
      </c>
      <c r="BB252">
        <v>243</v>
      </c>
      <c r="BC252">
        <v>256</v>
      </c>
      <c r="BD252" t="s">
        <v>74</v>
      </c>
      <c r="BE252" t="s">
        <v>4138</v>
      </c>
      <c r="BF252" t="str">
        <f>HYPERLINK("http://dx.doi.org/10.1144/0016-76492004-159","http://dx.doi.org/10.1144/0016-76492004-159")</f>
        <v>http://dx.doi.org/10.1144/0016-76492004-159</v>
      </c>
      <c r="BG252" t="s">
        <v>74</v>
      </c>
      <c r="BH252" t="s">
        <v>74</v>
      </c>
      <c r="BI252">
        <v>14</v>
      </c>
      <c r="BJ252" t="s">
        <v>685</v>
      </c>
      <c r="BK252" t="s">
        <v>97</v>
      </c>
      <c r="BL252" t="s">
        <v>642</v>
      </c>
      <c r="BM252" t="s">
        <v>4139</v>
      </c>
      <c r="BN252" t="s">
        <v>74</v>
      </c>
      <c r="BO252" t="s">
        <v>74</v>
      </c>
      <c r="BP252" t="s">
        <v>74</v>
      </c>
      <c r="BQ252" t="s">
        <v>74</v>
      </c>
      <c r="BR252" t="s">
        <v>100</v>
      </c>
      <c r="BS252" t="s">
        <v>4140</v>
      </c>
      <c r="BT252" t="str">
        <f>HYPERLINK("https%3A%2F%2Fwww.webofscience.com%2Fwos%2Fwoscc%2Ffull-record%2FWOS:000243646400023","View Full Record in Web of Science")</f>
        <v>View Full Record in Web of Science</v>
      </c>
    </row>
    <row r="253" spans="1:72" x14ac:dyDescent="0.15">
      <c r="A253" t="s">
        <v>241</v>
      </c>
      <c r="B253" t="s">
        <v>4141</v>
      </c>
      <c r="C253" t="s">
        <v>74</v>
      </c>
      <c r="D253" t="s">
        <v>4142</v>
      </c>
      <c r="E253" t="s">
        <v>74</v>
      </c>
      <c r="F253" t="s">
        <v>4143</v>
      </c>
      <c r="G253" t="s">
        <v>74</v>
      </c>
      <c r="H253" t="s">
        <v>74</v>
      </c>
      <c r="I253" t="s">
        <v>4144</v>
      </c>
      <c r="J253" t="s">
        <v>4145</v>
      </c>
      <c r="K253" t="s">
        <v>4146</v>
      </c>
      <c r="L253" t="s">
        <v>74</v>
      </c>
      <c r="M253" t="s">
        <v>78</v>
      </c>
      <c r="N253" t="s">
        <v>248</v>
      </c>
      <c r="O253" t="s">
        <v>4147</v>
      </c>
      <c r="P253" t="s">
        <v>4148</v>
      </c>
      <c r="Q253" t="s">
        <v>4149</v>
      </c>
      <c r="R253" t="s">
        <v>74</v>
      </c>
      <c r="S253" t="s">
        <v>74</v>
      </c>
      <c r="T253" t="s">
        <v>4150</v>
      </c>
      <c r="U253" t="s">
        <v>74</v>
      </c>
      <c r="V253" t="s">
        <v>4151</v>
      </c>
      <c r="W253" t="s">
        <v>4152</v>
      </c>
      <c r="X253" t="s">
        <v>74</v>
      </c>
      <c r="Y253" t="s">
        <v>74</v>
      </c>
      <c r="Z253" t="s">
        <v>4153</v>
      </c>
      <c r="AA253" t="s">
        <v>74</v>
      </c>
      <c r="AB253" t="s">
        <v>4154</v>
      </c>
      <c r="AC253" t="s">
        <v>74</v>
      </c>
      <c r="AD253" t="s">
        <v>74</v>
      </c>
      <c r="AE253" t="s">
        <v>74</v>
      </c>
      <c r="AF253" t="s">
        <v>74</v>
      </c>
      <c r="AG253">
        <v>22</v>
      </c>
      <c r="AH253">
        <v>0</v>
      </c>
      <c r="AI253">
        <v>0</v>
      </c>
      <c r="AJ253">
        <v>1</v>
      </c>
      <c r="AK253">
        <v>13</v>
      </c>
      <c r="AL253" t="s">
        <v>4155</v>
      </c>
      <c r="AM253" t="s">
        <v>4156</v>
      </c>
      <c r="AN253" t="s">
        <v>4157</v>
      </c>
      <c r="AO253" t="s">
        <v>4158</v>
      </c>
      <c r="AP253" t="s">
        <v>74</v>
      </c>
      <c r="AQ253" t="s">
        <v>4159</v>
      </c>
      <c r="AR253" t="s">
        <v>4160</v>
      </c>
      <c r="AS253" t="s">
        <v>74</v>
      </c>
      <c r="AT253" t="s">
        <v>74</v>
      </c>
      <c r="AU253">
        <v>2007</v>
      </c>
      <c r="AV253">
        <v>48</v>
      </c>
      <c r="AW253" t="s">
        <v>74</v>
      </c>
      <c r="AX253" t="s">
        <v>74</v>
      </c>
      <c r="AY253" t="s">
        <v>74</v>
      </c>
      <c r="AZ253" t="s">
        <v>74</v>
      </c>
      <c r="BA253" t="s">
        <v>74</v>
      </c>
      <c r="BB253">
        <v>43</v>
      </c>
      <c r="BC253">
        <v>50</v>
      </c>
      <c r="BD253" t="s">
        <v>74</v>
      </c>
      <c r="BE253" t="s">
        <v>74</v>
      </c>
      <c r="BF253" t="s">
        <v>74</v>
      </c>
      <c r="BG253" t="s">
        <v>74</v>
      </c>
      <c r="BH253" t="s">
        <v>74</v>
      </c>
      <c r="BI253">
        <v>8</v>
      </c>
      <c r="BJ253" t="s">
        <v>4161</v>
      </c>
      <c r="BK253" t="s">
        <v>4162</v>
      </c>
      <c r="BL253" t="s">
        <v>4163</v>
      </c>
      <c r="BM253" t="s">
        <v>4164</v>
      </c>
      <c r="BN253" t="s">
        <v>74</v>
      </c>
      <c r="BO253" t="s">
        <v>74</v>
      </c>
      <c r="BP253" t="s">
        <v>74</v>
      </c>
      <c r="BQ253" t="s">
        <v>74</v>
      </c>
      <c r="BR253" t="s">
        <v>100</v>
      </c>
      <c r="BS253" t="s">
        <v>4165</v>
      </c>
      <c r="BT253" t="str">
        <f>HYPERLINK("https%3A%2F%2Fwww.webofscience.com%2Fwos%2Fwoscc%2Ffull-record%2FWOS:000253841700005","View Full Record in Web of Science")</f>
        <v>View Full Record in Web of Science</v>
      </c>
    </row>
    <row r="254" spans="1:72" x14ac:dyDescent="0.15">
      <c r="A254" t="s">
        <v>241</v>
      </c>
      <c r="B254" t="s">
        <v>4166</v>
      </c>
      <c r="C254" t="s">
        <v>74</v>
      </c>
      <c r="D254" t="s">
        <v>4167</v>
      </c>
      <c r="E254" t="s">
        <v>74</v>
      </c>
      <c r="F254" t="s">
        <v>4168</v>
      </c>
      <c r="G254" t="s">
        <v>74</v>
      </c>
      <c r="H254" t="s">
        <v>74</v>
      </c>
      <c r="I254" t="s">
        <v>4169</v>
      </c>
      <c r="J254" t="s">
        <v>4170</v>
      </c>
      <c r="K254" t="s">
        <v>3173</v>
      </c>
      <c r="L254" t="s">
        <v>74</v>
      </c>
      <c r="M254" t="s">
        <v>78</v>
      </c>
      <c r="N254" t="s">
        <v>248</v>
      </c>
      <c r="O254" t="s">
        <v>4171</v>
      </c>
      <c r="P254" t="s">
        <v>4172</v>
      </c>
      <c r="Q254" t="s">
        <v>1099</v>
      </c>
      <c r="R254" t="s">
        <v>74</v>
      </c>
      <c r="S254" t="s">
        <v>74</v>
      </c>
      <c r="T254" t="s">
        <v>4173</v>
      </c>
      <c r="U254" t="s">
        <v>4174</v>
      </c>
      <c r="V254" t="s">
        <v>4175</v>
      </c>
      <c r="W254" t="s">
        <v>4176</v>
      </c>
      <c r="X254" t="s">
        <v>4177</v>
      </c>
      <c r="Y254" t="s">
        <v>4178</v>
      </c>
      <c r="Z254" t="s">
        <v>74</v>
      </c>
      <c r="AA254" t="s">
        <v>4179</v>
      </c>
      <c r="AB254" t="s">
        <v>4180</v>
      </c>
      <c r="AC254" t="s">
        <v>74</v>
      </c>
      <c r="AD254" t="s">
        <v>74</v>
      </c>
      <c r="AE254" t="s">
        <v>74</v>
      </c>
      <c r="AF254" t="s">
        <v>74</v>
      </c>
      <c r="AG254">
        <v>14</v>
      </c>
      <c r="AH254">
        <v>0</v>
      </c>
      <c r="AI254">
        <v>0</v>
      </c>
      <c r="AJ254">
        <v>0</v>
      </c>
      <c r="AK254">
        <v>9</v>
      </c>
      <c r="AL254" t="s">
        <v>2124</v>
      </c>
      <c r="AM254" t="s">
        <v>2125</v>
      </c>
      <c r="AN254" t="s">
        <v>2126</v>
      </c>
      <c r="AO254" t="s">
        <v>2127</v>
      </c>
      <c r="AP254" t="s">
        <v>74</v>
      </c>
      <c r="AQ254" t="s">
        <v>4181</v>
      </c>
      <c r="AR254" t="s">
        <v>3185</v>
      </c>
      <c r="AS254" t="s">
        <v>74</v>
      </c>
      <c r="AT254" t="s">
        <v>74</v>
      </c>
      <c r="AU254">
        <v>2007</v>
      </c>
      <c r="AV254">
        <v>6750</v>
      </c>
      <c r="AW254" t="s">
        <v>74</v>
      </c>
      <c r="AX254" t="s">
        <v>74</v>
      </c>
      <c r="AY254" t="s">
        <v>74</v>
      </c>
      <c r="AZ254" t="s">
        <v>74</v>
      </c>
      <c r="BA254" t="s">
        <v>74</v>
      </c>
      <c r="BB254" t="s">
        <v>74</v>
      </c>
      <c r="BC254" t="s">
        <v>74</v>
      </c>
      <c r="BD254">
        <v>675016</v>
      </c>
      <c r="BE254" t="s">
        <v>4182</v>
      </c>
      <c r="BF254" t="str">
        <f>HYPERLINK("http://dx.doi.org/10.1117/12.740063","http://dx.doi.org/10.1117/12.740063")</f>
        <v>http://dx.doi.org/10.1117/12.740063</v>
      </c>
      <c r="BG254" t="s">
        <v>74</v>
      </c>
      <c r="BH254" t="s">
        <v>74</v>
      </c>
      <c r="BI254">
        <v>10</v>
      </c>
      <c r="BJ254" t="s">
        <v>4183</v>
      </c>
      <c r="BK254" t="s">
        <v>266</v>
      </c>
      <c r="BL254" t="s">
        <v>4183</v>
      </c>
      <c r="BM254" t="s">
        <v>4184</v>
      </c>
      <c r="BN254" t="s">
        <v>74</v>
      </c>
      <c r="BO254" t="s">
        <v>1384</v>
      </c>
      <c r="BP254" t="s">
        <v>74</v>
      </c>
      <c r="BQ254" t="s">
        <v>74</v>
      </c>
      <c r="BR254" t="s">
        <v>100</v>
      </c>
      <c r="BS254" t="s">
        <v>4185</v>
      </c>
      <c r="BT254" t="str">
        <f>HYPERLINK("https%3A%2F%2Fwww.webofscience.com%2Fwos%2Fwoscc%2Ffull-record%2FWOS:000252771400032","View Full Record in Web of Science")</f>
        <v>View Full Record in Web of Science</v>
      </c>
    </row>
    <row r="255" spans="1:72" x14ac:dyDescent="0.15">
      <c r="A255" t="s">
        <v>72</v>
      </c>
      <c r="B255" t="s">
        <v>4186</v>
      </c>
      <c r="C255" t="s">
        <v>74</v>
      </c>
      <c r="D255" t="s">
        <v>74</v>
      </c>
      <c r="E255" t="s">
        <v>74</v>
      </c>
      <c r="F255" t="s">
        <v>4187</v>
      </c>
      <c r="G255" t="s">
        <v>74</v>
      </c>
      <c r="H255" t="s">
        <v>74</v>
      </c>
      <c r="I255" t="s">
        <v>4188</v>
      </c>
      <c r="J255" t="s">
        <v>4189</v>
      </c>
      <c r="K255" t="s">
        <v>74</v>
      </c>
      <c r="L255" t="s">
        <v>74</v>
      </c>
      <c r="M255" t="s">
        <v>78</v>
      </c>
      <c r="N255" t="s">
        <v>79</v>
      </c>
      <c r="O255" t="s">
        <v>74</v>
      </c>
      <c r="P255" t="s">
        <v>74</v>
      </c>
      <c r="Q255" t="s">
        <v>74</v>
      </c>
      <c r="R255" t="s">
        <v>74</v>
      </c>
      <c r="S255" t="s">
        <v>74</v>
      </c>
      <c r="T255" t="s">
        <v>74</v>
      </c>
      <c r="U255" t="s">
        <v>4190</v>
      </c>
      <c r="V255" t="s">
        <v>4191</v>
      </c>
      <c r="W255" t="s">
        <v>4192</v>
      </c>
      <c r="X255" t="s">
        <v>4193</v>
      </c>
      <c r="Y255" t="s">
        <v>4194</v>
      </c>
      <c r="Z255" t="s">
        <v>4195</v>
      </c>
      <c r="AA255" t="s">
        <v>4196</v>
      </c>
      <c r="AB255" t="s">
        <v>4197</v>
      </c>
      <c r="AC255" t="s">
        <v>74</v>
      </c>
      <c r="AD255" t="s">
        <v>74</v>
      </c>
      <c r="AE255" t="s">
        <v>74</v>
      </c>
      <c r="AF255" t="s">
        <v>74</v>
      </c>
      <c r="AG255">
        <v>59</v>
      </c>
      <c r="AH255">
        <v>107</v>
      </c>
      <c r="AI255">
        <v>119</v>
      </c>
      <c r="AJ255">
        <v>1</v>
      </c>
      <c r="AK255">
        <v>38</v>
      </c>
      <c r="AL255" t="s">
        <v>4198</v>
      </c>
      <c r="AM255" t="s">
        <v>4199</v>
      </c>
      <c r="AN255" t="s">
        <v>4200</v>
      </c>
      <c r="AO255" t="s">
        <v>4201</v>
      </c>
      <c r="AP255" t="s">
        <v>74</v>
      </c>
      <c r="AQ255" t="s">
        <v>74</v>
      </c>
      <c r="AR255" t="s">
        <v>4202</v>
      </c>
      <c r="AS255" t="s">
        <v>4203</v>
      </c>
      <c r="AT255" t="s">
        <v>661</v>
      </c>
      <c r="AU255">
        <v>2007</v>
      </c>
      <c r="AV255">
        <v>52</v>
      </c>
      <c r="AW255">
        <v>1</v>
      </c>
      <c r="AX255" t="s">
        <v>74</v>
      </c>
      <c r="AY255" t="s">
        <v>74</v>
      </c>
      <c r="AZ255" t="s">
        <v>74</v>
      </c>
      <c r="BA255" t="s">
        <v>74</v>
      </c>
      <c r="BB255">
        <v>428</v>
      </c>
      <c r="BC255">
        <v>440</v>
      </c>
      <c r="BD255" t="s">
        <v>74</v>
      </c>
      <c r="BE255" t="s">
        <v>4204</v>
      </c>
      <c r="BF255" t="str">
        <f>HYPERLINK("http://dx.doi.org/10.4319/lo.2007.52.1.0428","http://dx.doi.org/10.4319/lo.2007.52.1.0428")</f>
        <v>http://dx.doi.org/10.4319/lo.2007.52.1.0428</v>
      </c>
      <c r="BG255" t="s">
        <v>74</v>
      </c>
      <c r="BH255" t="s">
        <v>74</v>
      </c>
      <c r="BI255">
        <v>13</v>
      </c>
      <c r="BJ255" t="s">
        <v>4205</v>
      </c>
      <c r="BK255" t="s">
        <v>97</v>
      </c>
      <c r="BL255" t="s">
        <v>4206</v>
      </c>
      <c r="BM255" t="s">
        <v>4207</v>
      </c>
      <c r="BN255" t="s">
        <v>74</v>
      </c>
      <c r="BO255" t="s">
        <v>74</v>
      </c>
      <c r="BP255" t="s">
        <v>74</v>
      </c>
      <c r="BQ255" t="s">
        <v>74</v>
      </c>
      <c r="BR255" t="s">
        <v>100</v>
      </c>
      <c r="BS255" t="s">
        <v>4208</v>
      </c>
      <c r="BT255" t="str">
        <f>HYPERLINK("https%3A%2F%2Fwww.webofscience.com%2Fwos%2Fwoscc%2Ffull-record%2FWOS:000243795400037","View Full Record in Web of Science")</f>
        <v>View Full Record in Web of Science</v>
      </c>
    </row>
    <row r="256" spans="1:72" x14ac:dyDescent="0.15">
      <c r="A256" t="s">
        <v>72</v>
      </c>
      <c r="B256" t="s">
        <v>4209</v>
      </c>
      <c r="C256" t="s">
        <v>74</v>
      </c>
      <c r="D256" t="s">
        <v>74</v>
      </c>
      <c r="E256" t="s">
        <v>74</v>
      </c>
      <c r="F256" t="s">
        <v>4210</v>
      </c>
      <c r="G256" t="s">
        <v>74</v>
      </c>
      <c r="H256" t="s">
        <v>74</v>
      </c>
      <c r="I256" t="s">
        <v>4211</v>
      </c>
      <c r="J256" t="s">
        <v>4212</v>
      </c>
      <c r="K256" t="s">
        <v>74</v>
      </c>
      <c r="L256" t="s">
        <v>74</v>
      </c>
      <c r="M256" t="s">
        <v>78</v>
      </c>
      <c r="N256" t="s">
        <v>79</v>
      </c>
      <c r="O256" t="s">
        <v>74</v>
      </c>
      <c r="P256" t="s">
        <v>74</v>
      </c>
      <c r="Q256" t="s">
        <v>74</v>
      </c>
      <c r="R256" t="s">
        <v>74</v>
      </c>
      <c r="S256" t="s">
        <v>74</v>
      </c>
      <c r="T256" t="s">
        <v>4213</v>
      </c>
      <c r="U256" t="s">
        <v>4214</v>
      </c>
      <c r="V256" t="s">
        <v>4215</v>
      </c>
      <c r="W256" t="s">
        <v>4216</v>
      </c>
      <c r="X256" t="s">
        <v>2179</v>
      </c>
      <c r="Y256" t="s">
        <v>4217</v>
      </c>
      <c r="Z256" t="s">
        <v>4218</v>
      </c>
      <c r="AA256" t="s">
        <v>74</v>
      </c>
      <c r="AB256" t="s">
        <v>4219</v>
      </c>
      <c r="AC256" t="s">
        <v>74</v>
      </c>
      <c r="AD256" t="s">
        <v>74</v>
      </c>
      <c r="AE256" t="s">
        <v>74</v>
      </c>
      <c r="AF256" t="s">
        <v>74</v>
      </c>
      <c r="AG256">
        <v>75</v>
      </c>
      <c r="AH256">
        <v>26</v>
      </c>
      <c r="AI256">
        <v>29</v>
      </c>
      <c r="AJ256">
        <v>1</v>
      </c>
      <c r="AK256">
        <v>15</v>
      </c>
      <c r="AL256" t="s">
        <v>2829</v>
      </c>
      <c r="AM256" t="s">
        <v>903</v>
      </c>
      <c r="AN256" t="s">
        <v>2830</v>
      </c>
      <c r="AO256" t="s">
        <v>4220</v>
      </c>
      <c r="AP256" t="s">
        <v>4221</v>
      </c>
      <c r="AQ256" t="s">
        <v>74</v>
      </c>
      <c r="AR256" t="s">
        <v>4212</v>
      </c>
      <c r="AS256" t="s">
        <v>4222</v>
      </c>
      <c r="AT256" t="s">
        <v>661</v>
      </c>
      <c r="AU256">
        <v>2007</v>
      </c>
      <c r="AV256">
        <v>93</v>
      </c>
      <c r="AW256" t="s">
        <v>94</v>
      </c>
      <c r="AX256" t="s">
        <v>74</v>
      </c>
      <c r="AY256" t="s">
        <v>74</v>
      </c>
      <c r="AZ256" t="s">
        <v>74</v>
      </c>
      <c r="BA256" t="s">
        <v>74</v>
      </c>
      <c r="BB256">
        <v>39</v>
      </c>
      <c r="BC256">
        <v>67</v>
      </c>
      <c r="BD256" t="s">
        <v>74</v>
      </c>
      <c r="BE256" t="s">
        <v>4223</v>
      </c>
      <c r="BF256" t="str">
        <f>HYPERLINK("http://dx.doi.org/10.1016/j.lithos.2006.04.004","http://dx.doi.org/10.1016/j.lithos.2006.04.004")</f>
        <v>http://dx.doi.org/10.1016/j.lithos.2006.04.004</v>
      </c>
      <c r="BG256" t="s">
        <v>74</v>
      </c>
      <c r="BH256" t="s">
        <v>74</v>
      </c>
      <c r="BI256">
        <v>29</v>
      </c>
      <c r="BJ256" t="s">
        <v>4224</v>
      </c>
      <c r="BK256" t="s">
        <v>97</v>
      </c>
      <c r="BL256" t="s">
        <v>4224</v>
      </c>
      <c r="BM256" t="s">
        <v>4225</v>
      </c>
      <c r="BN256" t="s">
        <v>74</v>
      </c>
      <c r="BO256" t="s">
        <v>74</v>
      </c>
      <c r="BP256" t="s">
        <v>74</v>
      </c>
      <c r="BQ256" t="s">
        <v>74</v>
      </c>
      <c r="BR256" t="s">
        <v>100</v>
      </c>
      <c r="BS256" t="s">
        <v>4226</v>
      </c>
      <c r="BT256" t="str">
        <f>HYPERLINK("https%3A%2F%2Fwww.webofscience.com%2Fwos%2Fwoscc%2Ffull-record%2FWOS:000243631500003","View Full Record in Web of Science")</f>
        <v>View Full Record in Web of Science</v>
      </c>
    </row>
    <row r="257" spans="1:72" x14ac:dyDescent="0.15">
      <c r="A257" t="s">
        <v>72</v>
      </c>
      <c r="B257" t="s">
        <v>4227</v>
      </c>
      <c r="C257" t="s">
        <v>74</v>
      </c>
      <c r="D257" t="s">
        <v>74</v>
      </c>
      <c r="E257" t="s">
        <v>74</v>
      </c>
      <c r="F257" t="s">
        <v>4228</v>
      </c>
      <c r="G257" t="s">
        <v>74</v>
      </c>
      <c r="H257" t="s">
        <v>74</v>
      </c>
      <c r="I257" t="s">
        <v>4229</v>
      </c>
      <c r="J257" t="s">
        <v>4230</v>
      </c>
      <c r="K257" t="s">
        <v>74</v>
      </c>
      <c r="L257" t="s">
        <v>74</v>
      </c>
      <c r="M257" t="s">
        <v>627</v>
      </c>
      <c r="N257" t="s">
        <v>79</v>
      </c>
      <c r="O257" t="s">
        <v>74</v>
      </c>
      <c r="P257" t="s">
        <v>74</v>
      </c>
      <c r="Q257" t="s">
        <v>74</v>
      </c>
      <c r="R257" t="s">
        <v>74</v>
      </c>
      <c r="S257" t="s">
        <v>74</v>
      </c>
      <c r="T257" t="s">
        <v>4231</v>
      </c>
      <c r="U257" t="s">
        <v>74</v>
      </c>
      <c r="V257" t="s">
        <v>4232</v>
      </c>
      <c r="W257" t="s">
        <v>4233</v>
      </c>
      <c r="X257" t="s">
        <v>4234</v>
      </c>
      <c r="Y257" t="s">
        <v>4235</v>
      </c>
      <c r="Z257" t="s">
        <v>4236</v>
      </c>
      <c r="AA257" t="s">
        <v>4237</v>
      </c>
      <c r="AB257" t="s">
        <v>4238</v>
      </c>
      <c r="AC257" t="s">
        <v>74</v>
      </c>
      <c r="AD257" t="s">
        <v>74</v>
      </c>
      <c r="AE257" t="s">
        <v>74</v>
      </c>
      <c r="AF257" t="s">
        <v>74</v>
      </c>
      <c r="AG257">
        <v>35</v>
      </c>
      <c r="AH257">
        <v>21</v>
      </c>
      <c r="AI257">
        <v>26</v>
      </c>
      <c r="AJ257">
        <v>1</v>
      </c>
      <c r="AK257">
        <v>40</v>
      </c>
      <c r="AL257" t="s">
        <v>4239</v>
      </c>
      <c r="AM257" t="s">
        <v>4240</v>
      </c>
      <c r="AN257" t="s">
        <v>4241</v>
      </c>
      <c r="AO257" t="s">
        <v>4242</v>
      </c>
      <c r="AP257" t="s">
        <v>74</v>
      </c>
      <c r="AQ257" t="s">
        <v>74</v>
      </c>
      <c r="AR257" t="s">
        <v>4230</v>
      </c>
      <c r="AS257" t="s">
        <v>4243</v>
      </c>
      <c r="AT257" t="s">
        <v>74</v>
      </c>
      <c r="AU257">
        <v>2007</v>
      </c>
      <c r="AV257">
        <v>35</v>
      </c>
      <c r="AW257">
        <v>2</v>
      </c>
      <c r="AX257" t="s">
        <v>74</v>
      </c>
      <c r="AY257" t="s">
        <v>74</v>
      </c>
      <c r="AZ257" t="s">
        <v>74</v>
      </c>
      <c r="BA257" t="s">
        <v>74</v>
      </c>
      <c r="BB257">
        <v>71</v>
      </c>
      <c r="BC257">
        <v>88</v>
      </c>
      <c r="BD257" t="s">
        <v>74</v>
      </c>
      <c r="BE257" t="s">
        <v>74</v>
      </c>
      <c r="BF257" t="s">
        <v>74</v>
      </c>
      <c r="BG257" t="s">
        <v>74</v>
      </c>
      <c r="BH257" t="s">
        <v>74</v>
      </c>
      <c r="BI257">
        <v>18</v>
      </c>
      <c r="BJ257" t="s">
        <v>4244</v>
      </c>
      <c r="BK257" t="s">
        <v>4048</v>
      </c>
      <c r="BL257" t="s">
        <v>4244</v>
      </c>
      <c r="BM257" t="s">
        <v>4245</v>
      </c>
      <c r="BN257" t="s">
        <v>74</v>
      </c>
      <c r="BO257" t="s">
        <v>337</v>
      </c>
      <c r="BP257" t="s">
        <v>74</v>
      </c>
      <c r="BQ257" t="s">
        <v>74</v>
      </c>
      <c r="BR257" t="s">
        <v>100</v>
      </c>
      <c r="BS257" t="s">
        <v>4246</v>
      </c>
      <c r="BT257" t="str">
        <f>HYPERLINK("https%3A%2F%2Fwww.webofscience.com%2Fwos%2Fwoscc%2Ffull-record%2FWOS:000253953100006","View Full Record in Web of Science")</f>
        <v>View Full Record in Web of Science</v>
      </c>
    </row>
    <row r="258" spans="1:72" x14ac:dyDescent="0.15">
      <c r="A258" t="s">
        <v>72</v>
      </c>
      <c r="B258" t="s">
        <v>4247</v>
      </c>
      <c r="C258" t="s">
        <v>74</v>
      </c>
      <c r="D258" t="s">
        <v>74</v>
      </c>
      <c r="E258" t="s">
        <v>74</v>
      </c>
      <c r="F258" t="s">
        <v>4248</v>
      </c>
      <c r="G258" t="s">
        <v>74</v>
      </c>
      <c r="H258" t="s">
        <v>74</v>
      </c>
      <c r="I258" t="s">
        <v>4249</v>
      </c>
      <c r="J258" t="s">
        <v>4250</v>
      </c>
      <c r="K258" t="s">
        <v>74</v>
      </c>
      <c r="L258" t="s">
        <v>74</v>
      </c>
      <c r="M258" t="s">
        <v>78</v>
      </c>
      <c r="N258" t="s">
        <v>79</v>
      </c>
      <c r="O258" t="s">
        <v>74</v>
      </c>
      <c r="P258" t="s">
        <v>74</v>
      </c>
      <c r="Q258" t="s">
        <v>74</v>
      </c>
      <c r="R258" t="s">
        <v>74</v>
      </c>
      <c r="S258" t="s">
        <v>74</v>
      </c>
      <c r="T258" t="s">
        <v>4251</v>
      </c>
      <c r="U258" t="s">
        <v>4252</v>
      </c>
      <c r="V258" t="s">
        <v>4253</v>
      </c>
      <c r="W258" t="s">
        <v>4254</v>
      </c>
      <c r="X258" t="s">
        <v>4255</v>
      </c>
      <c r="Y258" t="s">
        <v>4256</v>
      </c>
      <c r="Z258" t="s">
        <v>4257</v>
      </c>
      <c r="AA258" t="s">
        <v>4258</v>
      </c>
      <c r="AB258" t="s">
        <v>4259</v>
      </c>
      <c r="AC258" t="s">
        <v>74</v>
      </c>
      <c r="AD258" t="s">
        <v>74</v>
      </c>
      <c r="AE258" t="s">
        <v>74</v>
      </c>
      <c r="AF258" t="s">
        <v>74</v>
      </c>
      <c r="AG258">
        <v>83</v>
      </c>
      <c r="AH258">
        <v>14</v>
      </c>
      <c r="AI258">
        <v>18</v>
      </c>
      <c r="AJ258">
        <v>0</v>
      </c>
      <c r="AK258">
        <v>2</v>
      </c>
      <c r="AL258" t="s">
        <v>4260</v>
      </c>
      <c r="AM258" t="s">
        <v>4261</v>
      </c>
      <c r="AN258" t="s">
        <v>4262</v>
      </c>
      <c r="AO258" t="s">
        <v>4263</v>
      </c>
      <c r="AP258" t="s">
        <v>4264</v>
      </c>
      <c r="AQ258" t="s">
        <v>74</v>
      </c>
      <c r="AR258" t="s">
        <v>4250</v>
      </c>
      <c r="AS258" t="s">
        <v>4265</v>
      </c>
      <c r="AT258" t="s">
        <v>74</v>
      </c>
      <c r="AU258">
        <v>2007</v>
      </c>
      <c r="AV258">
        <v>49</v>
      </c>
      <c r="AW258">
        <v>2</v>
      </c>
      <c r="AX258" t="s">
        <v>74</v>
      </c>
      <c r="AY258" t="s">
        <v>74</v>
      </c>
      <c r="AZ258" t="s">
        <v>74</v>
      </c>
      <c r="BA258" t="s">
        <v>74</v>
      </c>
      <c r="BB258">
        <v>393</v>
      </c>
      <c r="BC258">
        <v>443</v>
      </c>
      <c r="BD258" t="s">
        <v>74</v>
      </c>
      <c r="BE258" t="s">
        <v>4266</v>
      </c>
      <c r="BF258" t="str">
        <f>HYPERLINK("http://dx.doi.org/10.4002/0076-2997-49.2.393","http://dx.doi.org/10.4002/0076-2997-49.2.393")</f>
        <v>http://dx.doi.org/10.4002/0076-2997-49.2.393</v>
      </c>
      <c r="BG258" t="s">
        <v>74</v>
      </c>
      <c r="BH258" t="s">
        <v>74</v>
      </c>
      <c r="BI258">
        <v>51</v>
      </c>
      <c r="BJ258" t="s">
        <v>596</v>
      </c>
      <c r="BK258" t="s">
        <v>97</v>
      </c>
      <c r="BL258" t="s">
        <v>596</v>
      </c>
      <c r="BM258" t="s">
        <v>4267</v>
      </c>
      <c r="BN258" t="s">
        <v>74</v>
      </c>
      <c r="BO258" t="s">
        <v>1384</v>
      </c>
      <c r="BP258" t="s">
        <v>74</v>
      </c>
      <c r="BQ258" t="s">
        <v>74</v>
      </c>
      <c r="BR258" t="s">
        <v>100</v>
      </c>
      <c r="BS258" t="s">
        <v>4268</v>
      </c>
      <c r="BT258" t="str">
        <f>HYPERLINK("https%3A%2F%2Fwww.webofscience.com%2Fwos%2Fwoscc%2Ffull-record%2FWOS:000248436000010","View Full Record in Web of Science")</f>
        <v>View Full Record in Web of Science</v>
      </c>
    </row>
    <row r="259" spans="1:72" x14ac:dyDescent="0.15">
      <c r="A259" t="s">
        <v>72</v>
      </c>
      <c r="B259" t="s">
        <v>4269</v>
      </c>
      <c r="C259" t="s">
        <v>74</v>
      </c>
      <c r="D259" t="s">
        <v>74</v>
      </c>
      <c r="E259" t="s">
        <v>74</v>
      </c>
      <c r="F259" t="s">
        <v>4270</v>
      </c>
      <c r="G259" t="s">
        <v>74</v>
      </c>
      <c r="H259" t="s">
        <v>74</v>
      </c>
      <c r="I259" t="s">
        <v>4271</v>
      </c>
      <c r="J259" t="s">
        <v>4272</v>
      </c>
      <c r="K259" t="s">
        <v>74</v>
      </c>
      <c r="L259" t="s">
        <v>74</v>
      </c>
      <c r="M259" t="s">
        <v>78</v>
      </c>
      <c r="N259" t="s">
        <v>79</v>
      </c>
      <c r="O259" t="s">
        <v>74</v>
      </c>
      <c r="P259" t="s">
        <v>74</v>
      </c>
      <c r="Q259" t="s">
        <v>74</v>
      </c>
      <c r="R259" t="s">
        <v>74</v>
      </c>
      <c r="S259" t="s">
        <v>74</v>
      </c>
      <c r="T259" t="s">
        <v>4273</v>
      </c>
      <c r="U259" t="s">
        <v>4274</v>
      </c>
      <c r="V259" t="s">
        <v>4275</v>
      </c>
      <c r="W259" t="s">
        <v>4276</v>
      </c>
      <c r="X259" t="s">
        <v>4277</v>
      </c>
      <c r="Y259" t="s">
        <v>4278</v>
      </c>
      <c r="Z259" t="s">
        <v>4279</v>
      </c>
      <c r="AA259" t="s">
        <v>74</v>
      </c>
      <c r="AB259" t="s">
        <v>74</v>
      </c>
      <c r="AC259" t="s">
        <v>74</v>
      </c>
      <c r="AD259" t="s">
        <v>74</v>
      </c>
      <c r="AE259" t="s">
        <v>74</v>
      </c>
      <c r="AF259" t="s">
        <v>74</v>
      </c>
      <c r="AG259">
        <v>44</v>
      </c>
      <c r="AH259">
        <v>35</v>
      </c>
      <c r="AI259">
        <v>36</v>
      </c>
      <c r="AJ259">
        <v>0</v>
      </c>
      <c r="AK259">
        <v>11</v>
      </c>
      <c r="AL259" t="s">
        <v>4280</v>
      </c>
      <c r="AM259" t="s">
        <v>2038</v>
      </c>
      <c r="AN259" t="s">
        <v>4281</v>
      </c>
      <c r="AO259" t="s">
        <v>4282</v>
      </c>
      <c r="AP259" t="s">
        <v>74</v>
      </c>
      <c r="AQ259" t="s">
        <v>74</v>
      </c>
      <c r="AR259" t="s">
        <v>4272</v>
      </c>
      <c r="AS259" t="s">
        <v>4283</v>
      </c>
      <c r="AT259" t="s">
        <v>74</v>
      </c>
      <c r="AU259">
        <v>2007</v>
      </c>
      <c r="AV259">
        <v>71</v>
      </c>
      <c r="AW259">
        <v>4</v>
      </c>
      <c r="AX259" t="s">
        <v>74</v>
      </c>
      <c r="AY259" t="s">
        <v>74</v>
      </c>
      <c r="AZ259" t="s">
        <v>74</v>
      </c>
      <c r="BA259" t="s">
        <v>74</v>
      </c>
      <c r="BB259">
        <v>172</v>
      </c>
      <c r="BC259">
        <v>180</v>
      </c>
      <c r="BD259" t="s">
        <v>74</v>
      </c>
      <c r="BE259" t="s">
        <v>4284</v>
      </c>
      <c r="BF259" t="str">
        <f>HYPERLINK("http://dx.doi.org/10.1515/MAMM.2007.034","http://dx.doi.org/10.1515/MAMM.2007.034")</f>
        <v>http://dx.doi.org/10.1515/MAMM.2007.034</v>
      </c>
      <c r="BG259" t="s">
        <v>74</v>
      </c>
      <c r="BH259" t="s">
        <v>74</v>
      </c>
      <c r="BI259">
        <v>9</v>
      </c>
      <c r="BJ259" t="s">
        <v>596</v>
      </c>
      <c r="BK259" t="s">
        <v>97</v>
      </c>
      <c r="BL259" t="s">
        <v>596</v>
      </c>
      <c r="BM259" t="s">
        <v>4285</v>
      </c>
      <c r="BN259" t="s">
        <v>74</v>
      </c>
      <c r="BO259" t="s">
        <v>74</v>
      </c>
      <c r="BP259" t="s">
        <v>74</v>
      </c>
      <c r="BQ259" t="s">
        <v>74</v>
      </c>
      <c r="BR259" t="s">
        <v>100</v>
      </c>
      <c r="BS259" t="s">
        <v>4286</v>
      </c>
      <c r="BT259" t="str">
        <f>HYPERLINK("https%3A%2F%2Fwww.webofscience.com%2Fwos%2Fwoscc%2Ffull-record%2FWOS:000251966700004","View Full Record in Web of Science")</f>
        <v>View Full Record in Web of Science</v>
      </c>
    </row>
    <row r="260" spans="1:72" x14ac:dyDescent="0.15">
      <c r="A260" t="s">
        <v>72</v>
      </c>
      <c r="B260" t="s">
        <v>4287</v>
      </c>
      <c r="C260" t="s">
        <v>74</v>
      </c>
      <c r="D260" t="s">
        <v>74</v>
      </c>
      <c r="E260" t="s">
        <v>74</v>
      </c>
      <c r="F260" t="s">
        <v>4288</v>
      </c>
      <c r="G260" t="s">
        <v>74</v>
      </c>
      <c r="H260" t="s">
        <v>74</v>
      </c>
      <c r="I260" t="s">
        <v>4289</v>
      </c>
      <c r="J260" t="s">
        <v>4290</v>
      </c>
      <c r="K260" t="s">
        <v>74</v>
      </c>
      <c r="L260" t="s">
        <v>74</v>
      </c>
      <c r="M260" t="s">
        <v>78</v>
      </c>
      <c r="N260" t="s">
        <v>79</v>
      </c>
      <c r="O260" t="s">
        <v>74</v>
      </c>
      <c r="P260" t="s">
        <v>74</v>
      </c>
      <c r="Q260" t="s">
        <v>74</v>
      </c>
      <c r="R260" t="s">
        <v>74</v>
      </c>
      <c r="S260" t="s">
        <v>74</v>
      </c>
      <c r="T260" t="s">
        <v>4291</v>
      </c>
      <c r="U260" t="s">
        <v>4292</v>
      </c>
      <c r="V260" t="s">
        <v>4293</v>
      </c>
      <c r="W260" t="s">
        <v>4294</v>
      </c>
      <c r="X260" t="s">
        <v>4295</v>
      </c>
      <c r="Y260" t="s">
        <v>4296</v>
      </c>
      <c r="Z260" t="s">
        <v>4297</v>
      </c>
      <c r="AA260" t="s">
        <v>4298</v>
      </c>
      <c r="AB260" t="s">
        <v>4299</v>
      </c>
      <c r="AC260" t="s">
        <v>74</v>
      </c>
      <c r="AD260" t="s">
        <v>74</v>
      </c>
      <c r="AE260" t="s">
        <v>74</v>
      </c>
      <c r="AF260" t="s">
        <v>74</v>
      </c>
      <c r="AG260">
        <v>75</v>
      </c>
      <c r="AH260">
        <v>29</v>
      </c>
      <c r="AI260">
        <v>31</v>
      </c>
      <c r="AJ260">
        <v>1</v>
      </c>
      <c r="AK260">
        <v>18</v>
      </c>
      <c r="AL260" t="s">
        <v>568</v>
      </c>
      <c r="AM260" t="s">
        <v>569</v>
      </c>
      <c r="AN260" t="s">
        <v>570</v>
      </c>
      <c r="AO260" t="s">
        <v>4300</v>
      </c>
      <c r="AP260" t="s">
        <v>4301</v>
      </c>
      <c r="AQ260" t="s">
        <v>74</v>
      </c>
      <c r="AR260" t="s">
        <v>4302</v>
      </c>
      <c r="AS260" t="s">
        <v>4303</v>
      </c>
      <c r="AT260" t="s">
        <v>74</v>
      </c>
      <c r="AU260">
        <v>2007</v>
      </c>
      <c r="AV260">
        <v>58</v>
      </c>
      <c r="AW260">
        <v>8</v>
      </c>
      <c r="AX260" t="s">
        <v>74</v>
      </c>
      <c r="AY260" t="s">
        <v>74</v>
      </c>
      <c r="AZ260" t="s">
        <v>74</v>
      </c>
      <c r="BA260" t="s">
        <v>74</v>
      </c>
      <c r="BB260">
        <v>733</v>
      </c>
      <c r="BC260">
        <v>742</v>
      </c>
      <c r="BD260" t="s">
        <v>74</v>
      </c>
      <c r="BE260" t="s">
        <v>4304</v>
      </c>
      <c r="BF260" t="str">
        <f>HYPERLINK("http://dx.doi.org/10.1071/MF07015","http://dx.doi.org/10.1071/MF07015")</f>
        <v>http://dx.doi.org/10.1071/MF07015</v>
      </c>
      <c r="BG260" t="s">
        <v>74</v>
      </c>
      <c r="BH260" t="s">
        <v>74</v>
      </c>
      <c r="BI260">
        <v>10</v>
      </c>
      <c r="BJ260" t="s">
        <v>4305</v>
      </c>
      <c r="BK260" t="s">
        <v>97</v>
      </c>
      <c r="BL260" t="s">
        <v>2978</v>
      </c>
      <c r="BM260" t="s">
        <v>4306</v>
      </c>
      <c r="BN260" t="s">
        <v>74</v>
      </c>
      <c r="BO260" t="s">
        <v>4307</v>
      </c>
      <c r="BP260" t="s">
        <v>74</v>
      </c>
      <c r="BQ260" t="s">
        <v>74</v>
      </c>
      <c r="BR260" t="s">
        <v>100</v>
      </c>
      <c r="BS260" t="s">
        <v>4308</v>
      </c>
      <c r="BT260" t="str">
        <f>HYPERLINK("https%3A%2F%2Fwww.webofscience.com%2Fwos%2Fwoscc%2Ffull-record%2FWOS:000248985000006","View Full Record in Web of Science")</f>
        <v>View Full Record in Web of Science</v>
      </c>
    </row>
    <row r="261" spans="1:72" x14ac:dyDescent="0.15">
      <c r="A261" t="s">
        <v>72</v>
      </c>
      <c r="B261" t="s">
        <v>4309</v>
      </c>
      <c r="C261" t="s">
        <v>74</v>
      </c>
      <c r="D261" t="s">
        <v>74</v>
      </c>
      <c r="E261" t="s">
        <v>74</v>
      </c>
      <c r="F261" t="s">
        <v>4310</v>
      </c>
      <c r="G261" t="s">
        <v>74</v>
      </c>
      <c r="H261" t="s">
        <v>74</v>
      </c>
      <c r="I261" t="s">
        <v>4311</v>
      </c>
      <c r="J261" t="s">
        <v>4290</v>
      </c>
      <c r="K261" t="s">
        <v>74</v>
      </c>
      <c r="L261" t="s">
        <v>74</v>
      </c>
      <c r="M261" t="s">
        <v>78</v>
      </c>
      <c r="N261" t="s">
        <v>79</v>
      </c>
      <c r="O261" t="s">
        <v>74</v>
      </c>
      <c r="P261" t="s">
        <v>74</v>
      </c>
      <c r="Q261" t="s">
        <v>74</v>
      </c>
      <c r="R261" t="s">
        <v>74</v>
      </c>
      <c r="S261" t="s">
        <v>74</v>
      </c>
      <c r="T261" t="s">
        <v>4312</v>
      </c>
      <c r="U261" t="s">
        <v>4313</v>
      </c>
      <c r="V261" t="s">
        <v>4314</v>
      </c>
      <c r="W261" t="s">
        <v>4315</v>
      </c>
      <c r="X261" t="s">
        <v>4316</v>
      </c>
      <c r="Y261" t="s">
        <v>4317</v>
      </c>
      <c r="Z261" t="s">
        <v>4318</v>
      </c>
      <c r="AA261" t="s">
        <v>4319</v>
      </c>
      <c r="AB261" t="s">
        <v>4320</v>
      </c>
      <c r="AC261" t="s">
        <v>4321</v>
      </c>
      <c r="AD261" t="s">
        <v>158</v>
      </c>
      <c r="AE261" t="s">
        <v>74</v>
      </c>
      <c r="AF261" t="s">
        <v>74</v>
      </c>
      <c r="AG261">
        <v>45</v>
      </c>
      <c r="AH261">
        <v>14</v>
      </c>
      <c r="AI261">
        <v>14</v>
      </c>
      <c r="AJ261">
        <v>0</v>
      </c>
      <c r="AK261">
        <v>14</v>
      </c>
      <c r="AL261" t="s">
        <v>568</v>
      </c>
      <c r="AM261" t="s">
        <v>2278</v>
      </c>
      <c r="AN261" t="s">
        <v>2279</v>
      </c>
      <c r="AO261" t="s">
        <v>4300</v>
      </c>
      <c r="AP261" t="s">
        <v>74</v>
      </c>
      <c r="AQ261" t="s">
        <v>74</v>
      </c>
      <c r="AR261" t="s">
        <v>4302</v>
      </c>
      <c r="AS261" t="s">
        <v>4303</v>
      </c>
      <c r="AT261" t="s">
        <v>74</v>
      </c>
      <c r="AU261">
        <v>2007</v>
      </c>
      <c r="AV261">
        <v>58</v>
      </c>
      <c r="AW261">
        <v>12</v>
      </c>
      <c r="AX261" t="s">
        <v>74</v>
      </c>
      <c r="AY261" t="s">
        <v>74</v>
      </c>
      <c r="AZ261" t="s">
        <v>74</v>
      </c>
      <c r="BA261" t="s">
        <v>74</v>
      </c>
      <c r="BB261">
        <v>1136</v>
      </c>
      <c r="BC261">
        <v>1143</v>
      </c>
      <c r="BD261" t="s">
        <v>74</v>
      </c>
      <c r="BE261" t="s">
        <v>4322</v>
      </c>
      <c r="BF261" t="str">
        <f>HYPERLINK("http://dx.doi.org/10.1071/MF06237","http://dx.doi.org/10.1071/MF06237")</f>
        <v>http://dx.doi.org/10.1071/MF06237</v>
      </c>
      <c r="BG261" t="s">
        <v>74</v>
      </c>
      <c r="BH261" t="s">
        <v>74</v>
      </c>
      <c r="BI261">
        <v>8</v>
      </c>
      <c r="BJ261" t="s">
        <v>4305</v>
      </c>
      <c r="BK261" t="s">
        <v>97</v>
      </c>
      <c r="BL261" t="s">
        <v>2978</v>
      </c>
      <c r="BM261" t="s">
        <v>4323</v>
      </c>
      <c r="BN261" t="s">
        <v>74</v>
      </c>
      <c r="BO261" t="s">
        <v>74</v>
      </c>
      <c r="BP261" t="s">
        <v>74</v>
      </c>
      <c r="BQ261" t="s">
        <v>74</v>
      </c>
      <c r="BR261" t="s">
        <v>100</v>
      </c>
      <c r="BS261" t="s">
        <v>4324</v>
      </c>
      <c r="BT261" t="str">
        <f>HYPERLINK("https%3A%2F%2Fwww.webofscience.com%2Fwos%2Fwoscc%2Ffull-record%2FWOS:000251580100007","View Full Record in Web of Science")</f>
        <v>View Full Record in Web of Science</v>
      </c>
    </row>
    <row r="262" spans="1:72" x14ac:dyDescent="0.15">
      <c r="A262" t="s">
        <v>72</v>
      </c>
      <c r="B262" t="s">
        <v>4325</v>
      </c>
      <c r="C262" t="s">
        <v>74</v>
      </c>
      <c r="D262" t="s">
        <v>74</v>
      </c>
      <c r="E262" t="s">
        <v>74</v>
      </c>
      <c r="F262" t="s">
        <v>4326</v>
      </c>
      <c r="G262" t="s">
        <v>74</v>
      </c>
      <c r="H262" t="s">
        <v>74</v>
      </c>
      <c r="I262" t="s">
        <v>4327</v>
      </c>
      <c r="J262" t="s">
        <v>4328</v>
      </c>
      <c r="K262" t="s">
        <v>74</v>
      </c>
      <c r="L262" t="s">
        <v>74</v>
      </c>
      <c r="M262" t="s">
        <v>78</v>
      </c>
      <c r="N262" t="s">
        <v>79</v>
      </c>
      <c r="O262" t="s">
        <v>74</v>
      </c>
      <c r="P262" t="s">
        <v>74</v>
      </c>
      <c r="Q262" t="s">
        <v>74</v>
      </c>
      <c r="R262" t="s">
        <v>74</v>
      </c>
      <c r="S262" t="s">
        <v>74</v>
      </c>
      <c r="T262" t="s">
        <v>74</v>
      </c>
      <c r="U262" t="s">
        <v>4329</v>
      </c>
      <c r="V262" t="s">
        <v>4330</v>
      </c>
      <c r="W262" t="s">
        <v>4331</v>
      </c>
      <c r="X262" t="s">
        <v>4332</v>
      </c>
      <c r="Y262" t="s">
        <v>4333</v>
      </c>
      <c r="Z262" t="s">
        <v>4334</v>
      </c>
      <c r="AA262" t="s">
        <v>74</v>
      </c>
      <c r="AB262" t="s">
        <v>4335</v>
      </c>
      <c r="AC262" t="s">
        <v>74</v>
      </c>
      <c r="AD262" t="s">
        <v>74</v>
      </c>
      <c r="AE262" t="s">
        <v>74</v>
      </c>
      <c r="AF262" t="s">
        <v>74</v>
      </c>
      <c r="AG262">
        <v>58</v>
      </c>
      <c r="AH262">
        <v>49</v>
      </c>
      <c r="AI262">
        <v>57</v>
      </c>
      <c r="AJ262">
        <v>1</v>
      </c>
      <c r="AK262">
        <v>36</v>
      </c>
      <c r="AL262" t="s">
        <v>613</v>
      </c>
      <c r="AM262" t="s">
        <v>678</v>
      </c>
      <c r="AN262" t="s">
        <v>4336</v>
      </c>
      <c r="AO262" t="s">
        <v>4337</v>
      </c>
      <c r="AP262" t="s">
        <v>74</v>
      </c>
      <c r="AQ262" t="s">
        <v>74</v>
      </c>
      <c r="AR262" t="s">
        <v>4338</v>
      </c>
      <c r="AS262" t="s">
        <v>4339</v>
      </c>
      <c r="AT262" t="s">
        <v>661</v>
      </c>
      <c r="AU262">
        <v>2007</v>
      </c>
      <c r="AV262">
        <v>150</v>
      </c>
      <c r="AW262">
        <v>3</v>
      </c>
      <c r="AX262" t="s">
        <v>74</v>
      </c>
      <c r="AY262" t="s">
        <v>74</v>
      </c>
      <c r="AZ262" t="s">
        <v>74</v>
      </c>
      <c r="BA262" t="s">
        <v>74</v>
      </c>
      <c r="BB262">
        <v>443</v>
      </c>
      <c r="BC262">
        <v>454</v>
      </c>
      <c r="BD262" t="s">
        <v>74</v>
      </c>
      <c r="BE262" t="s">
        <v>4340</v>
      </c>
      <c r="BF262" t="str">
        <f>HYPERLINK("http://dx.doi.org/10.1007/s00227-006-0359-4","http://dx.doi.org/10.1007/s00227-006-0359-4")</f>
        <v>http://dx.doi.org/10.1007/s00227-006-0359-4</v>
      </c>
      <c r="BG262" t="s">
        <v>74</v>
      </c>
      <c r="BH262" t="s">
        <v>74</v>
      </c>
      <c r="BI262">
        <v>12</v>
      </c>
      <c r="BJ262" t="s">
        <v>122</v>
      </c>
      <c r="BK262" t="s">
        <v>97</v>
      </c>
      <c r="BL262" t="s">
        <v>122</v>
      </c>
      <c r="BM262" t="s">
        <v>4341</v>
      </c>
      <c r="BN262" t="s">
        <v>74</v>
      </c>
      <c r="BO262" t="s">
        <v>74</v>
      </c>
      <c r="BP262" t="s">
        <v>74</v>
      </c>
      <c r="BQ262" t="s">
        <v>74</v>
      </c>
      <c r="BR262" t="s">
        <v>100</v>
      </c>
      <c r="BS262" t="s">
        <v>4342</v>
      </c>
      <c r="BT262" t="str">
        <f>HYPERLINK("https%3A%2F%2Fwww.webofscience.com%2Fwos%2Fwoscc%2Ffull-record%2FWOS:000242830200011","View Full Record in Web of Science")</f>
        <v>View Full Record in Web of Science</v>
      </c>
    </row>
    <row r="263" spans="1:72" x14ac:dyDescent="0.15">
      <c r="A263" t="s">
        <v>72</v>
      </c>
      <c r="B263" t="s">
        <v>4343</v>
      </c>
      <c r="C263" t="s">
        <v>74</v>
      </c>
      <c r="D263" t="s">
        <v>74</v>
      </c>
      <c r="E263" t="s">
        <v>74</v>
      </c>
      <c r="F263" t="s">
        <v>4344</v>
      </c>
      <c r="G263" t="s">
        <v>74</v>
      </c>
      <c r="H263" t="s">
        <v>74</v>
      </c>
      <c r="I263" t="s">
        <v>4345</v>
      </c>
      <c r="J263" t="s">
        <v>4328</v>
      </c>
      <c r="K263" t="s">
        <v>74</v>
      </c>
      <c r="L263" t="s">
        <v>74</v>
      </c>
      <c r="M263" t="s">
        <v>78</v>
      </c>
      <c r="N263" t="s">
        <v>79</v>
      </c>
      <c r="O263" t="s">
        <v>74</v>
      </c>
      <c r="P263" t="s">
        <v>74</v>
      </c>
      <c r="Q263" t="s">
        <v>74</v>
      </c>
      <c r="R263" t="s">
        <v>74</v>
      </c>
      <c r="S263" t="s">
        <v>74</v>
      </c>
      <c r="T263" t="s">
        <v>74</v>
      </c>
      <c r="U263" t="s">
        <v>4346</v>
      </c>
      <c r="V263" t="s">
        <v>4347</v>
      </c>
      <c r="W263" t="s">
        <v>4348</v>
      </c>
      <c r="X263" t="s">
        <v>4349</v>
      </c>
      <c r="Y263" t="s">
        <v>4350</v>
      </c>
      <c r="Z263" t="s">
        <v>4351</v>
      </c>
      <c r="AA263" t="s">
        <v>4352</v>
      </c>
      <c r="AB263" t="s">
        <v>4353</v>
      </c>
      <c r="AC263" t="s">
        <v>74</v>
      </c>
      <c r="AD263" t="s">
        <v>74</v>
      </c>
      <c r="AE263" t="s">
        <v>74</v>
      </c>
      <c r="AF263" t="s">
        <v>74</v>
      </c>
      <c r="AG263">
        <v>92</v>
      </c>
      <c r="AH263">
        <v>46</v>
      </c>
      <c r="AI263">
        <v>49</v>
      </c>
      <c r="AJ263">
        <v>0</v>
      </c>
      <c r="AK263">
        <v>24</v>
      </c>
      <c r="AL263" t="s">
        <v>4354</v>
      </c>
      <c r="AM263" t="s">
        <v>4355</v>
      </c>
      <c r="AN263" t="s">
        <v>4356</v>
      </c>
      <c r="AO263" t="s">
        <v>4337</v>
      </c>
      <c r="AP263" t="s">
        <v>4357</v>
      </c>
      <c r="AQ263" t="s">
        <v>74</v>
      </c>
      <c r="AR263" t="s">
        <v>4338</v>
      </c>
      <c r="AS263" t="s">
        <v>4339</v>
      </c>
      <c r="AT263" t="s">
        <v>661</v>
      </c>
      <c r="AU263">
        <v>2007</v>
      </c>
      <c r="AV263">
        <v>150</v>
      </c>
      <c r="AW263">
        <v>4</v>
      </c>
      <c r="AX263" t="s">
        <v>74</v>
      </c>
      <c r="AY263" t="s">
        <v>74</v>
      </c>
      <c r="AZ263" t="s">
        <v>74</v>
      </c>
      <c r="BA263" t="s">
        <v>74</v>
      </c>
      <c r="BB263">
        <v>551</v>
      </c>
      <c r="BC263">
        <v>563</v>
      </c>
      <c r="BD263" t="s">
        <v>74</v>
      </c>
      <c r="BE263" t="s">
        <v>4358</v>
      </c>
      <c r="BF263" t="str">
        <f>HYPERLINK("http://dx.doi.org/10.1007/s00227-006-0370-9","http://dx.doi.org/10.1007/s00227-006-0370-9")</f>
        <v>http://dx.doi.org/10.1007/s00227-006-0370-9</v>
      </c>
      <c r="BG263" t="s">
        <v>74</v>
      </c>
      <c r="BH263" t="s">
        <v>74</v>
      </c>
      <c r="BI263">
        <v>13</v>
      </c>
      <c r="BJ263" t="s">
        <v>122</v>
      </c>
      <c r="BK263" t="s">
        <v>97</v>
      </c>
      <c r="BL263" t="s">
        <v>122</v>
      </c>
      <c r="BM263" t="s">
        <v>4359</v>
      </c>
      <c r="BN263" t="s">
        <v>74</v>
      </c>
      <c r="BO263" t="s">
        <v>74</v>
      </c>
      <c r="BP263" t="s">
        <v>74</v>
      </c>
      <c r="BQ263" t="s">
        <v>74</v>
      </c>
      <c r="BR263" t="s">
        <v>100</v>
      </c>
      <c r="BS263" t="s">
        <v>4360</v>
      </c>
      <c r="BT263" t="str">
        <f>HYPERLINK("https%3A%2F%2Fwww.webofscience.com%2Fwos%2Fwoscc%2Ffull-record%2FWOS:000242830300003","View Full Record in Web of Science")</f>
        <v>View Full Record in Web of Science</v>
      </c>
    </row>
    <row r="264" spans="1:72" x14ac:dyDescent="0.15">
      <c r="A264" t="s">
        <v>72</v>
      </c>
      <c r="B264" t="s">
        <v>4361</v>
      </c>
      <c r="C264" t="s">
        <v>74</v>
      </c>
      <c r="D264" t="s">
        <v>74</v>
      </c>
      <c r="E264" t="s">
        <v>74</v>
      </c>
      <c r="F264" t="s">
        <v>4362</v>
      </c>
      <c r="G264" t="s">
        <v>74</v>
      </c>
      <c r="H264" t="s">
        <v>74</v>
      </c>
      <c r="I264" t="s">
        <v>4363</v>
      </c>
      <c r="J264" t="s">
        <v>4328</v>
      </c>
      <c r="K264" t="s">
        <v>74</v>
      </c>
      <c r="L264" t="s">
        <v>74</v>
      </c>
      <c r="M264" t="s">
        <v>78</v>
      </c>
      <c r="N264" t="s">
        <v>79</v>
      </c>
      <c r="O264" t="s">
        <v>74</v>
      </c>
      <c r="P264" t="s">
        <v>74</v>
      </c>
      <c r="Q264" t="s">
        <v>74</v>
      </c>
      <c r="R264" t="s">
        <v>74</v>
      </c>
      <c r="S264" t="s">
        <v>74</v>
      </c>
      <c r="T264" t="s">
        <v>74</v>
      </c>
      <c r="U264" t="s">
        <v>4364</v>
      </c>
      <c r="V264" t="s">
        <v>4365</v>
      </c>
      <c r="W264" t="s">
        <v>4366</v>
      </c>
      <c r="X264" t="s">
        <v>4295</v>
      </c>
      <c r="Y264" t="s">
        <v>4367</v>
      </c>
      <c r="Z264" t="s">
        <v>4368</v>
      </c>
      <c r="AA264" t="s">
        <v>4369</v>
      </c>
      <c r="AB264" t="s">
        <v>4370</v>
      </c>
      <c r="AC264" t="s">
        <v>74</v>
      </c>
      <c r="AD264" t="s">
        <v>74</v>
      </c>
      <c r="AE264" t="s">
        <v>74</v>
      </c>
      <c r="AF264" t="s">
        <v>74</v>
      </c>
      <c r="AG264">
        <v>42</v>
      </c>
      <c r="AH264">
        <v>11</v>
      </c>
      <c r="AI264">
        <v>12</v>
      </c>
      <c r="AJ264">
        <v>1</v>
      </c>
      <c r="AK264">
        <v>6</v>
      </c>
      <c r="AL264" t="s">
        <v>4354</v>
      </c>
      <c r="AM264" t="s">
        <v>4355</v>
      </c>
      <c r="AN264" t="s">
        <v>4356</v>
      </c>
      <c r="AO264" t="s">
        <v>4337</v>
      </c>
      <c r="AP264" t="s">
        <v>4357</v>
      </c>
      <c r="AQ264" t="s">
        <v>74</v>
      </c>
      <c r="AR264" t="s">
        <v>4338</v>
      </c>
      <c r="AS264" t="s">
        <v>4339</v>
      </c>
      <c r="AT264" t="s">
        <v>661</v>
      </c>
      <c r="AU264">
        <v>2007</v>
      </c>
      <c r="AV264">
        <v>150</v>
      </c>
      <c r="AW264">
        <v>4</v>
      </c>
      <c r="AX264" t="s">
        <v>74</v>
      </c>
      <c r="AY264" t="s">
        <v>74</v>
      </c>
      <c r="AZ264" t="s">
        <v>74</v>
      </c>
      <c r="BA264" t="s">
        <v>74</v>
      </c>
      <c r="BB264">
        <v>575</v>
      </c>
      <c r="BC264">
        <v>584</v>
      </c>
      <c r="BD264" t="s">
        <v>74</v>
      </c>
      <c r="BE264" t="s">
        <v>4371</v>
      </c>
      <c r="BF264" t="str">
        <f>HYPERLINK("http://dx.doi.org/10.1007/s00227-006-0374-5","http://dx.doi.org/10.1007/s00227-006-0374-5")</f>
        <v>http://dx.doi.org/10.1007/s00227-006-0374-5</v>
      </c>
      <c r="BG264" t="s">
        <v>74</v>
      </c>
      <c r="BH264" t="s">
        <v>74</v>
      </c>
      <c r="BI264">
        <v>10</v>
      </c>
      <c r="BJ264" t="s">
        <v>122</v>
      </c>
      <c r="BK264" t="s">
        <v>97</v>
      </c>
      <c r="BL264" t="s">
        <v>122</v>
      </c>
      <c r="BM264" t="s">
        <v>4359</v>
      </c>
      <c r="BN264" t="s">
        <v>74</v>
      </c>
      <c r="BO264" t="s">
        <v>74</v>
      </c>
      <c r="BP264" t="s">
        <v>74</v>
      </c>
      <c r="BQ264" t="s">
        <v>74</v>
      </c>
      <c r="BR264" t="s">
        <v>100</v>
      </c>
      <c r="BS264" t="s">
        <v>4372</v>
      </c>
      <c r="BT264" t="str">
        <f>HYPERLINK("https%3A%2F%2Fwww.webofscience.com%2Fwos%2Fwoscc%2Ffull-record%2FWOS:000242830300005","View Full Record in Web of Science")</f>
        <v>View Full Record in Web of Science</v>
      </c>
    </row>
    <row r="265" spans="1:72" x14ac:dyDescent="0.15">
      <c r="A265" t="s">
        <v>72</v>
      </c>
      <c r="B265" t="s">
        <v>4373</v>
      </c>
      <c r="C265" t="s">
        <v>74</v>
      </c>
      <c r="D265" t="s">
        <v>74</v>
      </c>
      <c r="E265" t="s">
        <v>74</v>
      </c>
      <c r="F265" t="s">
        <v>4374</v>
      </c>
      <c r="G265" t="s">
        <v>74</v>
      </c>
      <c r="H265" t="s">
        <v>74</v>
      </c>
      <c r="I265" t="s">
        <v>4375</v>
      </c>
      <c r="J265" t="s">
        <v>4376</v>
      </c>
      <c r="K265" t="s">
        <v>74</v>
      </c>
      <c r="L265" t="s">
        <v>74</v>
      </c>
      <c r="M265" t="s">
        <v>78</v>
      </c>
      <c r="N265" t="s">
        <v>79</v>
      </c>
      <c r="O265" t="s">
        <v>74</v>
      </c>
      <c r="P265" t="s">
        <v>74</v>
      </c>
      <c r="Q265" t="s">
        <v>74</v>
      </c>
      <c r="R265" t="s">
        <v>74</v>
      </c>
      <c r="S265" t="s">
        <v>74</v>
      </c>
      <c r="T265" t="s">
        <v>4377</v>
      </c>
      <c r="U265" t="s">
        <v>4378</v>
      </c>
      <c r="V265" t="s">
        <v>4379</v>
      </c>
      <c r="W265" t="s">
        <v>4380</v>
      </c>
      <c r="X265" t="s">
        <v>1248</v>
      </c>
      <c r="Y265" t="s">
        <v>4381</v>
      </c>
      <c r="Z265" t="s">
        <v>4382</v>
      </c>
      <c r="AA265" t="s">
        <v>4383</v>
      </c>
      <c r="AB265" t="s">
        <v>4384</v>
      </c>
      <c r="AC265" t="s">
        <v>1441</v>
      </c>
      <c r="AD265" t="s">
        <v>1254</v>
      </c>
      <c r="AE265" t="s">
        <v>74</v>
      </c>
      <c r="AF265" t="s">
        <v>74</v>
      </c>
      <c r="AG265">
        <v>57</v>
      </c>
      <c r="AH265">
        <v>18</v>
      </c>
      <c r="AI265">
        <v>20</v>
      </c>
      <c r="AJ265">
        <v>0</v>
      </c>
      <c r="AK265">
        <v>23</v>
      </c>
      <c r="AL265" t="s">
        <v>4385</v>
      </c>
      <c r="AM265" t="s">
        <v>4386</v>
      </c>
      <c r="AN265" t="s">
        <v>4387</v>
      </c>
      <c r="AO265" t="s">
        <v>4388</v>
      </c>
      <c r="AP265" t="s">
        <v>4389</v>
      </c>
      <c r="AQ265" t="s">
        <v>74</v>
      </c>
      <c r="AR265" t="s">
        <v>4390</v>
      </c>
      <c r="AS265" t="s">
        <v>4391</v>
      </c>
      <c r="AT265" t="s">
        <v>74</v>
      </c>
      <c r="AU265">
        <v>2007</v>
      </c>
      <c r="AV265">
        <v>3</v>
      </c>
      <c r="AW265">
        <v>4</v>
      </c>
      <c r="AX265" t="s">
        <v>74</v>
      </c>
      <c r="AY265" t="s">
        <v>74</v>
      </c>
      <c r="AZ265" t="s">
        <v>74</v>
      </c>
      <c r="BA265" t="s">
        <v>74</v>
      </c>
      <c r="BB265">
        <v>191</v>
      </c>
      <c r="BC265">
        <v>204</v>
      </c>
      <c r="BD265" t="s">
        <v>74</v>
      </c>
      <c r="BE265" t="s">
        <v>4392</v>
      </c>
      <c r="BF265" t="str">
        <f>HYPERLINK("http://dx.doi.org/10.1080/17451000701455287","http://dx.doi.org/10.1080/17451000701455287")</f>
        <v>http://dx.doi.org/10.1080/17451000701455287</v>
      </c>
      <c r="BG265" t="s">
        <v>74</v>
      </c>
      <c r="BH265" t="s">
        <v>74</v>
      </c>
      <c r="BI265">
        <v>14</v>
      </c>
      <c r="BJ265" t="s">
        <v>4393</v>
      </c>
      <c r="BK265" t="s">
        <v>97</v>
      </c>
      <c r="BL265" t="s">
        <v>198</v>
      </c>
      <c r="BM265" t="s">
        <v>4394</v>
      </c>
      <c r="BN265" t="s">
        <v>74</v>
      </c>
      <c r="BO265" t="s">
        <v>74</v>
      </c>
      <c r="BP265" t="s">
        <v>74</v>
      </c>
      <c r="BQ265" t="s">
        <v>74</v>
      </c>
      <c r="BR265" t="s">
        <v>100</v>
      </c>
      <c r="BS265" t="s">
        <v>4395</v>
      </c>
      <c r="BT265" t="str">
        <f>HYPERLINK("https%3A%2F%2Fwww.webofscience.com%2Fwos%2Fwoscc%2Ffull-record%2FWOS:000250011100002","View Full Record in Web of Science")</f>
        <v>View Full Record in Web of Science</v>
      </c>
    </row>
    <row r="266" spans="1:72" x14ac:dyDescent="0.15">
      <c r="A266" t="s">
        <v>72</v>
      </c>
      <c r="B266" t="s">
        <v>4396</v>
      </c>
      <c r="C266" t="s">
        <v>74</v>
      </c>
      <c r="D266" t="s">
        <v>74</v>
      </c>
      <c r="E266" t="s">
        <v>74</v>
      </c>
      <c r="F266" t="s">
        <v>4397</v>
      </c>
      <c r="G266" t="s">
        <v>74</v>
      </c>
      <c r="H266" t="s">
        <v>74</v>
      </c>
      <c r="I266" t="s">
        <v>4398</v>
      </c>
      <c r="J266" t="s">
        <v>4399</v>
      </c>
      <c r="K266" t="s">
        <v>74</v>
      </c>
      <c r="L266" t="s">
        <v>74</v>
      </c>
      <c r="M266" t="s">
        <v>78</v>
      </c>
      <c r="N266" t="s">
        <v>79</v>
      </c>
      <c r="O266" t="s">
        <v>74</v>
      </c>
      <c r="P266" t="s">
        <v>74</v>
      </c>
      <c r="Q266" t="s">
        <v>74</v>
      </c>
      <c r="R266" t="s">
        <v>74</v>
      </c>
      <c r="S266" t="s">
        <v>74</v>
      </c>
      <c r="T266" t="s">
        <v>4400</v>
      </c>
      <c r="U266" t="s">
        <v>4401</v>
      </c>
      <c r="V266" t="s">
        <v>4402</v>
      </c>
      <c r="W266" t="s">
        <v>4403</v>
      </c>
      <c r="X266" t="s">
        <v>3161</v>
      </c>
      <c r="Y266" t="s">
        <v>4404</v>
      </c>
      <c r="Z266" t="s">
        <v>4405</v>
      </c>
      <c r="AA266" t="s">
        <v>74</v>
      </c>
      <c r="AB266" t="s">
        <v>74</v>
      </c>
      <c r="AC266" t="s">
        <v>74</v>
      </c>
      <c r="AD266" t="s">
        <v>74</v>
      </c>
      <c r="AE266" t="s">
        <v>74</v>
      </c>
      <c r="AF266" t="s">
        <v>74</v>
      </c>
      <c r="AG266">
        <v>43</v>
      </c>
      <c r="AH266">
        <v>27</v>
      </c>
      <c r="AI266">
        <v>38</v>
      </c>
      <c r="AJ266">
        <v>2</v>
      </c>
      <c r="AK266">
        <v>29</v>
      </c>
      <c r="AL266" t="s">
        <v>115</v>
      </c>
      <c r="AM266" t="s">
        <v>116</v>
      </c>
      <c r="AN266" t="s">
        <v>117</v>
      </c>
      <c r="AO266" t="s">
        <v>4406</v>
      </c>
      <c r="AP266" t="s">
        <v>74</v>
      </c>
      <c r="AQ266" t="s">
        <v>74</v>
      </c>
      <c r="AR266" t="s">
        <v>4407</v>
      </c>
      <c r="AS266" t="s">
        <v>4408</v>
      </c>
      <c r="AT266" t="s">
        <v>74</v>
      </c>
      <c r="AU266">
        <v>2007</v>
      </c>
      <c r="AV266">
        <v>351</v>
      </c>
      <c r="AW266" t="s">
        <v>74</v>
      </c>
      <c r="AX266" t="s">
        <v>74</v>
      </c>
      <c r="AY266" t="s">
        <v>74</v>
      </c>
      <c r="AZ266" t="s">
        <v>74</v>
      </c>
      <c r="BA266" t="s">
        <v>74</v>
      </c>
      <c r="BB266">
        <v>77</v>
      </c>
      <c r="BC266">
        <v>89</v>
      </c>
      <c r="BD266" t="s">
        <v>74</v>
      </c>
      <c r="BE266" t="s">
        <v>4409</v>
      </c>
      <c r="BF266" t="str">
        <f>HYPERLINK("http://dx.doi.org/10.3354/meps07122","http://dx.doi.org/10.3354/meps07122")</f>
        <v>http://dx.doi.org/10.3354/meps07122</v>
      </c>
      <c r="BG266" t="s">
        <v>74</v>
      </c>
      <c r="BH266" t="s">
        <v>74</v>
      </c>
      <c r="BI266">
        <v>13</v>
      </c>
      <c r="BJ266" t="s">
        <v>4410</v>
      </c>
      <c r="BK266" t="s">
        <v>97</v>
      </c>
      <c r="BL266" t="s">
        <v>4411</v>
      </c>
      <c r="BM266" t="s">
        <v>4412</v>
      </c>
      <c r="BN266" t="s">
        <v>74</v>
      </c>
      <c r="BO266" t="s">
        <v>124</v>
      </c>
      <c r="BP266" t="s">
        <v>74</v>
      </c>
      <c r="BQ266" t="s">
        <v>74</v>
      </c>
      <c r="BR266" t="s">
        <v>100</v>
      </c>
      <c r="BS266" t="s">
        <v>4413</v>
      </c>
      <c r="BT266" t="str">
        <f>HYPERLINK("https%3A%2F%2Fwww.webofscience.com%2Fwos%2Fwoscc%2Ffull-record%2FWOS:000252064100007","View Full Record in Web of Science")</f>
        <v>View Full Record in Web of Science</v>
      </c>
    </row>
    <row r="267" spans="1:72" x14ac:dyDescent="0.15">
      <c r="A267" t="s">
        <v>72</v>
      </c>
      <c r="B267" t="s">
        <v>4414</v>
      </c>
      <c r="C267" t="s">
        <v>74</v>
      </c>
      <c r="D267" t="s">
        <v>74</v>
      </c>
      <c r="E267" t="s">
        <v>74</v>
      </c>
      <c r="F267" t="s">
        <v>4415</v>
      </c>
      <c r="G267" t="s">
        <v>74</v>
      </c>
      <c r="H267" t="s">
        <v>74</v>
      </c>
      <c r="I267" t="s">
        <v>4416</v>
      </c>
      <c r="J267" t="s">
        <v>4399</v>
      </c>
      <c r="K267" t="s">
        <v>74</v>
      </c>
      <c r="L267" t="s">
        <v>74</v>
      </c>
      <c r="M267" t="s">
        <v>78</v>
      </c>
      <c r="N267" t="s">
        <v>79</v>
      </c>
      <c r="O267" t="s">
        <v>74</v>
      </c>
      <c r="P267" t="s">
        <v>74</v>
      </c>
      <c r="Q267" t="s">
        <v>74</v>
      </c>
      <c r="R267" t="s">
        <v>74</v>
      </c>
      <c r="S267" t="s">
        <v>74</v>
      </c>
      <c r="T267" t="s">
        <v>4417</v>
      </c>
      <c r="U267" t="s">
        <v>4418</v>
      </c>
      <c r="V267" t="s">
        <v>4419</v>
      </c>
      <c r="W267" t="s">
        <v>4420</v>
      </c>
      <c r="X267" t="s">
        <v>2632</v>
      </c>
      <c r="Y267" t="s">
        <v>4421</v>
      </c>
      <c r="Z267" t="s">
        <v>4422</v>
      </c>
      <c r="AA267" t="s">
        <v>74</v>
      </c>
      <c r="AB267" t="s">
        <v>74</v>
      </c>
      <c r="AC267" t="s">
        <v>74</v>
      </c>
      <c r="AD267" t="s">
        <v>74</v>
      </c>
      <c r="AE267" t="s">
        <v>74</v>
      </c>
      <c r="AF267" t="s">
        <v>74</v>
      </c>
      <c r="AG267">
        <v>38</v>
      </c>
      <c r="AH267">
        <v>21</v>
      </c>
      <c r="AI267">
        <v>25</v>
      </c>
      <c r="AJ267">
        <v>1</v>
      </c>
      <c r="AK267">
        <v>14</v>
      </c>
      <c r="AL267" t="s">
        <v>115</v>
      </c>
      <c r="AM267" t="s">
        <v>116</v>
      </c>
      <c r="AN267" t="s">
        <v>117</v>
      </c>
      <c r="AO267" t="s">
        <v>4406</v>
      </c>
      <c r="AP267" t="s">
        <v>4423</v>
      </c>
      <c r="AQ267" t="s">
        <v>74</v>
      </c>
      <c r="AR267" t="s">
        <v>4407</v>
      </c>
      <c r="AS267" t="s">
        <v>4408</v>
      </c>
      <c r="AT267" t="s">
        <v>74</v>
      </c>
      <c r="AU267">
        <v>2007</v>
      </c>
      <c r="AV267">
        <v>351</v>
      </c>
      <c r="AW267" t="s">
        <v>74</v>
      </c>
      <c r="AX267" t="s">
        <v>74</v>
      </c>
      <c r="AY267" t="s">
        <v>74</v>
      </c>
      <c r="AZ267" t="s">
        <v>74</v>
      </c>
      <c r="BA267" t="s">
        <v>74</v>
      </c>
      <c r="BB267">
        <v>249</v>
      </c>
      <c r="BC267">
        <v>260</v>
      </c>
      <c r="BD267" t="s">
        <v>74</v>
      </c>
      <c r="BE267" t="s">
        <v>4424</v>
      </c>
      <c r="BF267" t="str">
        <f>HYPERLINK("http://dx.doi.org/10.3354/meps07153","http://dx.doi.org/10.3354/meps07153")</f>
        <v>http://dx.doi.org/10.3354/meps07153</v>
      </c>
      <c r="BG267" t="s">
        <v>74</v>
      </c>
      <c r="BH267" t="s">
        <v>74</v>
      </c>
      <c r="BI267">
        <v>12</v>
      </c>
      <c r="BJ267" t="s">
        <v>4410</v>
      </c>
      <c r="BK267" t="s">
        <v>97</v>
      </c>
      <c r="BL267" t="s">
        <v>4411</v>
      </c>
      <c r="BM267" t="s">
        <v>4412</v>
      </c>
      <c r="BN267" t="s">
        <v>74</v>
      </c>
      <c r="BO267" t="s">
        <v>4425</v>
      </c>
      <c r="BP267" t="s">
        <v>74</v>
      </c>
      <c r="BQ267" t="s">
        <v>74</v>
      </c>
      <c r="BR267" t="s">
        <v>100</v>
      </c>
      <c r="BS267" t="s">
        <v>4426</v>
      </c>
      <c r="BT267" t="str">
        <f>HYPERLINK("https%3A%2F%2Fwww.webofscience.com%2Fwos%2Fwoscc%2Ffull-record%2FWOS:000252064100021","View Full Record in Web of Science")</f>
        <v>View Full Record in Web of Science</v>
      </c>
    </row>
    <row r="268" spans="1:72" x14ac:dyDescent="0.15">
      <c r="A268" t="s">
        <v>72</v>
      </c>
      <c r="B268" t="s">
        <v>4427</v>
      </c>
      <c r="C268" t="s">
        <v>74</v>
      </c>
      <c r="D268" t="s">
        <v>74</v>
      </c>
      <c r="E268" t="s">
        <v>74</v>
      </c>
      <c r="F268" t="s">
        <v>4428</v>
      </c>
      <c r="G268" t="s">
        <v>74</v>
      </c>
      <c r="H268" t="s">
        <v>74</v>
      </c>
      <c r="I268" t="s">
        <v>4429</v>
      </c>
      <c r="J268" t="s">
        <v>4399</v>
      </c>
      <c r="K268" t="s">
        <v>74</v>
      </c>
      <c r="L268" t="s">
        <v>74</v>
      </c>
      <c r="M268" t="s">
        <v>78</v>
      </c>
      <c r="N268" t="s">
        <v>79</v>
      </c>
      <c r="O268" t="s">
        <v>74</v>
      </c>
      <c r="P268" t="s">
        <v>74</v>
      </c>
      <c r="Q268" t="s">
        <v>74</v>
      </c>
      <c r="R268" t="s">
        <v>74</v>
      </c>
      <c r="S268" t="s">
        <v>74</v>
      </c>
      <c r="T268" t="s">
        <v>4430</v>
      </c>
      <c r="U268" t="s">
        <v>4431</v>
      </c>
      <c r="V268" t="s">
        <v>4432</v>
      </c>
      <c r="W268" t="s">
        <v>4433</v>
      </c>
      <c r="X268" t="s">
        <v>514</v>
      </c>
      <c r="Y268" t="s">
        <v>4434</v>
      </c>
      <c r="Z268" t="s">
        <v>4435</v>
      </c>
      <c r="AA268" t="s">
        <v>4436</v>
      </c>
      <c r="AB268" t="s">
        <v>4437</v>
      </c>
      <c r="AC268" t="s">
        <v>4438</v>
      </c>
      <c r="AD268" t="s">
        <v>1254</v>
      </c>
      <c r="AE268" t="s">
        <v>74</v>
      </c>
      <c r="AF268" t="s">
        <v>74</v>
      </c>
      <c r="AG268">
        <v>46</v>
      </c>
      <c r="AH268">
        <v>30</v>
      </c>
      <c r="AI268">
        <v>33</v>
      </c>
      <c r="AJ268">
        <v>0</v>
      </c>
      <c r="AK268">
        <v>8</v>
      </c>
      <c r="AL268" t="s">
        <v>115</v>
      </c>
      <c r="AM268" t="s">
        <v>116</v>
      </c>
      <c r="AN268" t="s">
        <v>117</v>
      </c>
      <c r="AO268" t="s">
        <v>4406</v>
      </c>
      <c r="AP268" t="s">
        <v>4423</v>
      </c>
      <c r="AQ268" t="s">
        <v>74</v>
      </c>
      <c r="AR268" t="s">
        <v>4407</v>
      </c>
      <c r="AS268" t="s">
        <v>4408</v>
      </c>
      <c r="AT268" t="s">
        <v>74</v>
      </c>
      <c r="AU268">
        <v>2007</v>
      </c>
      <c r="AV268">
        <v>349</v>
      </c>
      <c r="AW268" t="s">
        <v>74</v>
      </c>
      <c r="AX268" t="s">
        <v>74</v>
      </c>
      <c r="AY268" t="s">
        <v>74</v>
      </c>
      <c r="AZ268" t="s">
        <v>74</v>
      </c>
      <c r="BA268" t="s">
        <v>74</v>
      </c>
      <c r="BB268">
        <v>89</v>
      </c>
      <c r="BC268">
        <v>102</v>
      </c>
      <c r="BD268" t="s">
        <v>74</v>
      </c>
      <c r="BE268" t="s">
        <v>4439</v>
      </c>
      <c r="BF268" t="str">
        <f>HYPERLINK("http://dx.doi.org/10.3354/meps07104","http://dx.doi.org/10.3354/meps07104")</f>
        <v>http://dx.doi.org/10.3354/meps07104</v>
      </c>
      <c r="BG268" t="s">
        <v>74</v>
      </c>
      <c r="BH268" t="s">
        <v>74</v>
      </c>
      <c r="BI268">
        <v>14</v>
      </c>
      <c r="BJ268" t="s">
        <v>4410</v>
      </c>
      <c r="BK268" t="s">
        <v>97</v>
      </c>
      <c r="BL268" t="s">
        <v>4411</v>
      </c>
      <c r="BM268" t="s">
        <v>4440</v>
      </c>
      <c r="BN268" t="s">
        <v>74</v>
      </c>
      <c r="BO268" t="s">
        <v>124</v>
      </c>
      <c r="BP268" t="s">
        <v>74</v>
      </c>
      <c r="BQ268" t="s">
        <v>74</v>
      </c>
      <c r="BR268" t="s">
        <v>100</v>
      </c>
      <c r="BS268" t="s">
        <v>4441</v>
      </c>
      <c r="BT268" t="str">
        <f>HYPERLINK("https%3A%2F%2Fwww.webofscience.com%2Fwos%2Fwoscc%2Ffull-record%2FWOS:000251565400009","View Full Record in Web of Science")</f>
        <v>View Full Record in Web of Science</v>
      </c>
    </row>
    <row r="269" spans="1:72" x14ac:dyDescent="0.15">
      <c r="A269" t="s">
        <v>72</v>
      </c>
      <c r="B269" t="s">
        <v>4442</v>
      </c>
      <c r="C269" t="s">
        <v>74</v>
      </c>
      <c r="D269" t="s">
        <v>74</v>
      </c>
      <c r="E269" t="s">
        <v>74</v>
      </c>
      <c r="F269" t="s">
        <v>4443</v>
      </c>
      <c r="G269" t="s">
        <v>74</v>
      </c>
      <c r="H269" t="s">
        <v>74</v>
      </c>
      <c r="I269" t="s">
        <v>4444</v>
      </c>
      <c r="J269" t="s">
        <v>4399</v>
      </c>
      <c r="K269" t="s">
        <v>74</v>
      </c>
      <c r="L269" t="s">
        <v>74</v>
      </c>
      <c r="M269" t="s">
        <v>78</v>
      </c>
      <c r="N269" t="s">
        <v>79</v>
      </c>
      <c r="O269" t="s">
        <v>74</v>
      </c>
      <c r="P269" t="s">
        <v>74</v>
      </c>
      <c r="Q269" t="s">
        <v>74</v>
      </c>
      <c r="R269" t="s">
        <v>74</v>
      </c>
      <c r="S269" t="s">
        <v>74</v>
      </c>
      <c r="T269" t="s">
        <v>4445</v>
      </c>
      <c r="U269" t="s">
        <v>4446</v>
      </c>
      <c r="V269" t="s">
        <v>4447</v>
      </c>
      <c r="W269" t="s">
        <v>4448</v>
      </c>
      <c r="X269" t="s">
        <v>4449</v>
      </c>
      <c r="Y269" t="s">
        <v>4450</v>
      </c>
      <c r="Z269" t="s">
        <v>4451</v>
      </c>
      <c r="AA269" t="s">
        <v>4452</v>
      </c>
      <c r="AB269" t="s">
        <v>4453</v>
      </c>
      <c r="AC269" t="s">
        <v>74</v>
      </c>
      <c r="AD269" t="s">
        <v>74</v>
      </c>
      <c r="AE269" t="s">
        <v>74</v>
      </c>
      <c r="AF269" t="s">
        <v>74</v>
      </c>
      <c r="AG269">
        <v>29</v>
      </c>
      <c r="AH269">
        <v>117</v>
      </c>
      <c r="AI269">
        <v>127</v>
      </c>
      <c r="AJ269">
        <v>0</v>
      </c>
      <c r="AK269">
        <v>25</v>
      </c>
      <c r="AL269" t="s">
        <v>115</v>
      </c>
      <c r="AM269" t="s">
        <v>116</v>
      </c>
      <c r="AN269" t="s">
        <v>117</v>
      </c>
      <c r="AO269" t="s">
        <v>4406</v>
      </c>
      <c r="AP269" t="s">
        <v>74</v>
      </c>
      <c r="AQ269" t="s">
        <v>74</v>
      </c>
      <c r="AR269" t="s">
        <v>4407</v>
      </c>
      <c r="AS269" t="s">
        <v>4408</v>
      </c>
      <c r="AT269" t="s">
        <v>74</v>
      </c>
      <c r="AU269">
        <v>2007</v>
      </c>
      <c r="AV269">
        <v>348</v>
      </c>
      <c r="AW269" t="s">
        <v>74</v>
      </c>
      <c r="AX269" t="s">
        <v>74</v>
      </c>
      <c r="AY269" t="s">
        <v>74</v>
      </c>
      <c r="AZ269" t="s">
        <v>74</v>
      </c>
      <c r="BA269" t="s">
        <v>74</v>
      </c>
      <c r="BB269">
        <v>47</v>
      </c>
      <c r="BC269">
        <v>54</v>
      </c>
      <c r="BD269" t="s">
        <v>74</v>
      </c>
      <c r="BE269" t="s">
        <v>4454</v>
      </c>
      <c r="BF269" t="str">
        <f>HYPERLINK("http://dx.doi.org/10.3354/meps07058","http://dx.doi.org/10.3354/meps07058")</f>
        <v>http://dx.doi.org/10.3354/meps07058</v>
      </c>
      <c r="BG269" t="s">
        <v>74</v>
      </c>
      <c r="BH269" t="s">
        <v>74</v>
      </c>
      <c r="BI269">
        <v>8</v>
      </c>
      <c r="BJ269" t="s">
        <v>4410</v>
      </c>
      <c r="BK269" t="s">
        <v>97</v>
      </c>
      <c r="BL269" t="s">
        <v>4411</v>
      </c>
      <c r="BM269" t="s">
        <v>4455</v>
      </c>
      <c r="BN269" t="s">
        <v>74</v>
      </c>
      <c r="BO269" t="s">
        <v>3708</v>
      </c>
      <c r="BP269" t="s">
        <v>74</v>
      </c>
      <c r="BQ269" t="s">
        <v>74</v>
      </c>
      <c r="BR269" t="s">
        <v>100</v>
      </c>
      <c r="BS269" t="s">
        <v>4456</v>
      </c>
      <c r="BT269" t="str">
        <f>HYPERLINK("https%3A%2F%2Fwww.webofscience.com%2Fwos%2Fwoscc%2Ffull-record%2FWOS:000251203500004","View Full Record in Web of Science")</f>
        <v>View Full Record in Web of Science</v>
      </c>
    </row>
    <row r="270" spans="1:72" x14ac:dyDescent="0.15">
      <c r="A270" t="s">
        <v>72</v>
      </c>
      <c r="B270" t="s">
        <v>4457</v>
      </c>
      <c r="C270" t="s">
        <v>74</v>
      </c>
      <c r="D270" t="s">
        <v>74</v>
      </c>
      <c r="E270" t="s">
        <v>74</v>
      </c>
      <c r="F270" t="s">
        <v>4458</v>
      </c>
      <c r="G270" t="s">
        <v>74</v>
      </c>
      <c r="H270" t="s">
        <v>74</v>
      </c>
      <c r="I270" t="s">
        <v>4459</v>
      </c>
      <c r="J270" t="s">
        <v>4399</v>
      </c>
      <c r="K270" t="s">
        <v>74</v>
      </c>
      <c r="L270" t="s">
        <v>74</v>
      </c>
      <c r="M270" t="s">
        <v>78</v>
      </c>
      <c r="N270" t="s">
        <v>79</v>
      </c>
      <c r="O270" t="s">
        <v>74</v>
      </c>
      <c r="P270" t="s">
        <v>74</v>
      </c>
      <c r="Q270" t="s">
        <v>74</v>
      </c>
      <c r="R270" t="s">
        <v>74</v>
      </c>
      <c r="S270" t="s">
        <v>74</v>
      </c>
      <c r="T270" t="s">
        <v>4460</v>
      </c>
      <c r="U270" t="s">
        <v>4461</v>
      </c>
      <c r="V270" t="s">
        <v>4462</v>
      </c>
      <c r="W270" t="s">
        <v>4463</v>
      </c>
      <c r="X270" t="s">
        <v>4464</v>
      </c>
      <c r="Y270" t="s">
        <v>4465</v>
      </c>
      <c r="Z270" t="s">
        <v>4466</v>
      </c>
      <c r="AA270" t="s">
        <v>4467</v>
      </c>
      <c r="AB270" t="s">
        <v>4468</v>
      </c>
      <c r="AC270" t="s">
        <v>74</v>
      </c>
      <c r="AD270" t="s">
        <v>74</v>
      </c>
      <c r="AE270" t="s">
        <v>74</v>
      </c>
      <c r="AF270" t="s">
        <v>74</v>
      </c>
      <c r="AG270">
        <v>59</v>
      </c>
      <c r="AH270">
        <v>42</v>
      </c>
      <c r="AI270">
        <v>58</v>
      </c>
      <c r="AJ270">
        <v>1</v>
      </c>
      <c r="AK270">
        <v>21</v>
      </c>
      <c r="AL270" t="s">
        <v>115</v>
      </c>
      <c r="AM270" t="s">
        <v>116</v>
      </c>
      <c r="AN270" t="s">
        <v>117</v>
      </c>
      <c r="AO270" t="s">
        <v>4406</v>
      </c>
      <c r="AP270" t="s">
        <v>4423</v>
      </c>
      <c r="AQ270" t="s">
        <v>74</v>
      </c>
      <c r="AR270" t="s">
        <v>4407</v>
      </c>
      <c r="AS270" t="s">
        <v>4408</v>
      </c>
      <c r="AT270" t="s">
        <v>74</v>
      </c>
      <c r="AU270">
        <v>2007</v>
      </c>
      <c r="AV270">
        <v>346</v>
      </c>
      <c r="AW270" t="s">
        <v>74</v>
      </c>
      <c r="AX270" t="s">
        <v>74</v>
      </c>
      <c r="AY270" t="s">
        <v>74</v>
      </c>
      <c r="AZ270" t="s">
        <v>74</v>
      </c>
      <c r="BA270" t="s">
        <v>74</v>
      </c>
      <c r="BB270">
        <v>265</v>
      </c>
      <c r="BC270">
        <v>275</v>
      </c>
      <c r="BD270" t="s">
        <v>74</v>
      </c>
      <c r="BE270" t="s">
        <v>4469</v>
      </c>
      <c r="BF270" t="str">
        <f>HYPERLINK("http://dx.doi.org/10.3354/meps07014","http://dx.doi.org/10.3354/meps07014")</f>
        <v>http://dx.doi.org/10.3354/meps07014</v>
      </c>
      <c r="BG270" t="s">
        <v>74</v>
      </c>
      <c r="BH270" t="s">
        <v>74</v>
      </c>
      <c r="BI270">
        <v>11</v>
      </c>
      <c r="BJ270" t="s">
        <v>4410</v>
      </c>
      <c r="BK270" t="s">
        <v>97</v>
      </c>
      <c r="BL270" t="s">
        <v>4411</v>
      </c>
      <c r="BM270" t="s">
        <v>4470</v>
      </c>
      <c r="BN270" t="s">
        <v>74</v>
      </c>
      <c r="BO270" t="s">
        <v>3809</v>
      </c>
      <c r="BP270" t="s">
        <v>74</v>
      </c>
      <c r="BQ270" t="s">
        <v>74</v>
      </c>
      <c r="BR270" t="s">
        <v>100</v>
      </c>
      <c r="BS270" t="s">
        <v>4471</v>
      </c>
      <c r="BT270" t="str">
        <f>HYPERLINK("https%3A%2F%2Fwww.webofscience.com%2Fwos%2Fwoscc%2Ffull-record%2FWOS:000250472300021","View Full Record in Web of Science")</f>
        <v>View Full Record in Web of Science</v>
      </c>
    </row>
    <row r="271" spans="1:72" x14ac:dyDescent="0.15">
      <c r="A271" t="s">
        <v>72</v>
      </c>
      <c r="B271" t="s">
        <v>4472</v>
      </c>
      <c r="C271" t="s">
        <v>74</v>
      </c>
      <c r="D271" t="s">
        <v>74</v>
      </c>
      <c r="E271" t="s">
        <v>74</v>
      </c>
      <c r="F271" t="s">
        <v>4473</v>
      </c>
      <c r="G271" t="s">
        <v>74</v>
      </c>
      <c r="H271" t="s">
        <v>74</v>
      </c>
      <c r="I271" t="s">
        <v>4474</v>
      </c>
      <c r="J271" t="s">
        <v>4399</v>
      </c>
      <c r="K271" t="s">
        <v>74</v>
      </c>
      <c r="L271" t="s">
        <v>74</v>
      </c>
      <c r="M271" t="s">
        <v>78</v>
      </c>
      <c r="N271" t="s">
        <v>79</v>
      </c>
      <c r="O271" t="s">
        <v>74</v>
      </c>
      <c r="P271" t="s">
        <v>74</v>
      </c>
      <c r="Q271" t="s">
        <v>74</v>
      </c>
      <c r="R271" t="s">
        <v>74</v>
      </c>
      <c r="S271" t="s">
        <v>74</v>
      </c>
      <c r="T271" t="s">
        <v>4475</v>
      </c>
      <c r="U271" t="s">
        <v>4476</v>
      </c>
      <c r="V271" t="s">
        <v>4477</v>
      </c>
      <c r="W271" t="s">
        <v>4478</v>
      </c>
      <c r="X271" t="s">
        <v>4479</v>
      </c>
      <c r="Y271" t="s">
        <v>4480</v>
      </c>
      <c r="Z271" t="s">
        <v>4481</v>
      </c>
      <c r="AA271" t="s">
        <v>4482</v>
      </c>
      <c r="AB271" t="s">
        <v>4483</v>
      </c>
      <c r="AC271" t="s">
        <v>4484</v>
      </c>
      <c r="AD271" t="s">
        <v>1254</v>
      </c>
      <c r="AE271" t="s">
        <v>74</v>
      </c>
      <c r="AF271" t="s">
        <v>74</v>
      </c>
      <c r="AG271">
        <v>73</v>
      </c>
      <c r="AH271">
        <v>24</v>
      </c>
      <c r="AI271">
        <v>27</v>
      </c>
      <c r="AJ271">
        <v>0</v>
      </c>
      <c r="AK271">
        <v>21</v>
      </c>
      <c r="AL271" t="s">
        <v>115</v>
      </c>
      <c r="AM271" t="s">
        <v>116</v>
      </c>
      <c r="AN271" t="s">
        <v>117</v>
      </c>
      <c r="AO271" t="s">
        <v>4406</v>
      </c>
      <c r="AP271" t="s">
        <v>4423</v>
      </c>
      <c r="AQ271" t="s">
        <v>74</v>
      </c>
      <c r="AR271" t="s">
        <v>4407</v>
      </c>
      <c r="AS271" t="s">
        <v>4408</v>
      </c>
      <c r="AT271" t="s">
        <v>74</v>
      </c>
      <c r="AU271">
        <v>2007</v>
      </c>
      <c r="AV271">
        <v>346</v>
      </c>
      <c r="AW271" t="s">
        <v>74</v>
      </c>
      <c r="AX271" t="s">
        <v>74</v>
      </c>
      <c r="AY271" t="s">
        <v>74</v>
      </c>
      <c r="AZ271" t="s">
        <v>74</v>
      </c>
      <c r="BA271" t="s">
        <v>74</v>
      </c>
      <c r="BB271">
        <v>299</v>
      </c>
      <c r="BC271">
        <v>312</v>
      </c>
      <c r="BD271" t="s">
        <v>74</v>
      </c>
      <c r="BE271" t="s">
        <v>4485</v>
      </c>
      <c r="BF271" t="str">
        <f>HYPERLINK("http://dx.doi.org/10.3354/meps07024","http://dx.doi.org/10.3354/meps07024")</f>
        <v>http://dx.doi.org/10.3354/meps07024</v>
      </c>
      <c r="BG271" t="s">
        <v>74</v>
      </c>
      <c r="BH271" t="s">
        <v>74</v>
      </c>
      <c r="BI271">
        <v>14</v>
      </c>
      <c r="BJ271" t="s">
        <v>4410</v>
      </c>
      <c r="BK271" t="s">
        <v>97</v>
      </c>
      <c r="BL271" t="s">
        <v>4411</v>
      </c>
      <c r="BM271" t="s">
        <v>4470</v>
      </c>
      <c r="BN271" t="s">
        <v>74</v>
      </c>
      <c r="BO271" t="s">
        <v>4486</v>
      </c>
      <c r="BP271" t="s">
        <v>74</v>
      </c>
      <c r="BQ271" t="s">
        <v>74</v>
      </c>
      <c r="BR271" t="s">
        <v>100</v>
      </c>
      <c r="BS271" t="s">
        <v>4487</v>
      </c>
      <c r="BT271" t="str">
        <f>HYPERLINK("https%3A%2F%2Fwww.webofscience.com%2Fwos%2Fwoscc%2Ffull-record%2FWOS:000250472300024","View Full Record in Web of Science")</f>
        <v>View Full Record in Web of Science</v>
      </c>
    </row>
    <row r="272" spans="1:72" x14ac:dyDescent="0.15">
      <c r="A272" t="s">
        <v>72</v>
      </c>
      <c r="B272" t="s">
        <v>4488</v>
      </c>
      <c r="C272" t="s">
        <v>74</v>
      </c>
      <c r="D272" t="s">
        <v>74</v>
      </c>
      <c r="E272" t="s">
        <v>74</v>
      </c>
      <c r="F272" t="s">
        <v>4489</v>
      </c>
      <c r="G272" t="s">
        <v>74</v>
      </c>
      <c r="H272" t="s">
        <v>74</v>
      </c>
      <c r="I272" t="s">
        <v>4490</v>
      </c>
      <c r="J272" t="s">
        <v>4399</v>
      </c>
      <c r="K272" t="s">
        <v>74</v>
      </c>
      <c r="L272" t="s">
        <v>74</v>
      </c>
      <c r="M272" t="s">
        <v>78</v>
      </c>
      <c r="N272" t="s">
        <v>79</v>
      </c>
      <c r="O272" t="s">
        <v>74</v>
      </c>
      <c r="P272" t="s">
        <v>74</v>
      </c>
      <c r="Q272" t="s">
        <v>74</v>
      </c>
      <c r="R272" t="s">
        <v>74</v>
      </c>
      <c r="S272" t="s">
        <v>74</v>
      </c>
      <c r="T272" t="s">
        <v>4491</v>
      </c>
      <c r="U272" t="s">
        <v>4492</v>
      </c>
      <c r="V272" t="s">
        <v>4493</v>
      </c>
      <c r="W272" t="s">
        <v>4494</v>
      </c>
      <c r="X272" t="s">
        <v>4495</v>
      </c>
      <c r="Y272" t="s">
        <v>4496</v>
      </c>
      <c r="Z272" t="s">
        <v>4497</v>
      </c>
      <c r="AA272" t="s">
        <v>4498</v>
      </c>
      <c r="AB272" t="s">
        <v>4499</v>
      </c>
      <c r="AC272" t="s">
        <v>74</v>
      </c>
      <c r="AD272" t="s">
        <v>74</v>
      </c>
      <c r="AE272" t="s">
        <v>74</v>
      </c>
      <c r="AF272" t="s">
        <v>74</v>
      </c>
      <c r="AG272">
        <v>45</v>
      </c>
      <c r="AH272">
        <v>25</v>
      </c>
      <c r="AI272">
        <v>28</v>
      </c>
      <c r="AJ272">
        <v>1</v>
      </c>
      <c r="AK272">
        <v>12</v>
      </c>
      <c r="AL272" t="s">
        <v>115</v>
      </c>
      <c r="AM272" t="s">
        <v>116</v>
      </c>
      <c r="AN272" t="s">
        <v>117</v>
      </c>
      <c r="AO272" t="s">
        <v>4406</v>
      </c>
      <c r="AP272" t="s">
        <v>4423</v>
      </c>
      <c r="AQ272" t="s">
        <v>74</v>
      </c>
      <c r="AR272" t="s">
        <v>4407</v>
      </c>
      <c r="AS272" t="s">
        <v>4408</v>
      </c>
      <c r="AT272" t="s">
        <v>74</v>
      </c>
      <c r="AU272">
        <v>2007</v>
      </c>
      <c r="AV272">
        <v>345</v>
      </c>
      <c r="AW272" t="s">
        <v>74</v>
      </c>
      <c r="AX272" t="s">
        <v>74</v>
      </c>
      <c r="AY272" t="s">
        <v>74</v>
      </c>
      <c r="AZ272" t="s">
        <v>74</v>
      </c>
      <c r="BA272" t="s">
        <v>74</v>
      </c>
      <c r="BB272">
        <v>199</v>
      </c>
      <c r="BC272">
        <v>210</v>
      </c>
      <c r="BD272" t="s">
        <v>74</v>
      </c>
      <c r="BE272" t="s">
        <v>4500</v>
      </c>
      <c r="BF272" t="str">
        <f>HYPERLINK("http://dx.doi.org/10.3354/meps06934","http://dx.doi.org/10.3354/meps06934")</f>
        <v>http://dx.doi.org/10.3354/meps06934</v>
      </c>
      <c r="BG272" t="s">
        <v>74</v>
      </c>
      <c r="BH272" t="s">
        <v>74</v>
      </c>
      <c r="BI272">
        <v>12</v>
      </c>
      <c r="BJ272" t="s">
        <v>4410</v>
      </c>
      <c r="BK272" t="s">
        <v>97</v>
      </c>
      <c r="BL272" t="s">
        <v>4411</v>
      </c>
      <c r="BM272" t="s">
        <v>4501</v>
      </c>
      <c r="BN272" t="s">
        <v>74</v>
      </c>
      <c r="BO272" t="s">
        <v>124</v>
      </c>
      <c r="BP272" t="s">
        <v>74</v>
      </c>
      <c r="BQ272" t="s">
        <v>74</v>
      </c>
      <c r="BR272" t="s">
        <v>100</v>
      </c>
      <c r="BS272" t="s">
        <v>4502</v>
      </c>
      <c r="BT272" t="str">
        <f>HYPERLINK("https%3A%2F%2Fwww.webofscience.com%2Fwos%2Fwoscc%2Ffull-record%2FWOS:000250195800017","View Full Record in Web of Science")</f>
        <v>View Full Record in Web of Science</v>
      </c>
    </row>
    <row r="273" spans="1:72" x14ac:dyDescent="0.15">
      <c r="A273" t="s">
        <v>72</v>
      </c>
      <c r="B273" t="s">
        <v>4503</v>
      </c>
      <c r="C273" t="s">
        <v>74</v>
      </c>
      <c r="D273" t="s">
        <v>74</v>
      </c>
      <c r="E273" t="s">
        <v>74</v>
      </c>
      <c r="F273" t="s">
        <v>4504</v>
      </c>
      <c r="G273" t="s">
        <v>74</v>
      </c>
      <c r="H273" t="s">
        <v>74</v>
      </c>
      <c r="I273" t="s">
        <v>4505</v>
      </c>
      <c r="J273" t="s">
        <v>4399</v>
      </c>
      <c r="K273" t="s">
        <v>74</v>
      </c>
      <c r="L273" t="s">
        <v>74</v>
      </c>
      <c r="M273" t="s">
        <v>78</v>
      </c>
      <c r="N273" t="s">
        <v>79</v>
      </c>
      <c r="O273" t="s">
        <v>74</v>
      </c>
      <c r="P273" t="s">
        <v>74</v>
      </c>
      <c r="Q273" t="s">
        <v>74</v>
      </c>
      <c r="R273" t="s">
        <v>74</v>
      </c>
      <c r="S273" t="s">
        <v>74</v>
      </c>
      <c r="T273" t="s">
        <v>4506</v>
      </c>
      <c r="U273" t="s">
        <v>4507</v>
      </c>
      <c r="V273" t="s">
        <v>4508</v>
      </c>
      <c r="W273" t="s">
        <v>4509</v>
      </c>
      <c r="X273" t="s">
        <v>4510</v>
      </c>
      <c r="Y273" t="s">
        <v>4511</v>
      </c>
      <c r="Z273" t="s">
        <v>4512</v>
      </c>
      <c r="AA273" t="s">
        <v>4513</v>
      </c>
      <c r="AB273" t="s">
        <v>4514</v>
      </c>
      <c r="AC273" t="s">
        <v>74</v>
      </c>
      <c r="AD273" t="s">
        <v>74</v>
      </c>
      <c r="AE273" t="s">
        <v>74</v>
      </c>
      <c r="AF273" t="s">
        <v>74</v>
      </c>
      <c r="AG273">
        <v>68</v>
      </c>
      <c r="AH273">
        <v>25</v>
      </c>
      <c r="AI273">
        <v>29</v>
      </c>
      <c r="AJ273">
        <v>1</v>
      </c>
      <c r="AK273">
        <v>21</v>
      </c>
      <c r="AL273" t="s">
        <v>115</v>
      </c>
      <c r="AM273" t="s">
        <v>116</v>
      </c>
      <c r="AN273" t="s">
        <v>117</v>
      </c>
      <c r="AO273" t="s">
        <v>4406</v>
      </c>
      <c r="AP273" t="s">
        <v>4423</v>
      </c>
      <c r="AQ273" t="s">
        <v>74</v>
      </c>
      <c r="AR273" t="s">
        <v>4407</v>
      </c>
      <c r="AS273" t="s">
        <v>4408</v>
      </c>
      <c r="AT273" t="s">
        <v>74</v>
      </c>
      <c r="AU273">
        <v>2007</v>
      </c>
      <c r="AV273">
        <v>345</v>
      </c>
      <c r="AW273" t="s">
        <v>74</v>
      </c>
      <c r="AX273" t="s">
        <v>74</v>
      </c>
      <c r="AY273" t="s">
        <v>74</v>
      </c>
      <c r="AZ273" t="s">
        <v>74</v>
      </c>
      <c r="BA273" t="s">
        <v>74</v>
      </c>
      <c r="BB273">
        <v>255</v>
      </c>
      <c r="BC273">
        <v>269</v>
      </c>
      <c r="BD273" t="s">
        <v>74</v>
      </c>
      <c r="BE273" t="s">
        <v>4515</v>
      </c>
      <c r="BF273" t="str">
        <f>HYPERLINK("http://dx.doi.org/10.3354/meps06967","http://dx.doi.org/10.3354/meps06967")</f>
        <v>http://dx.doi.org/10.3354/meps06967</v>
      </c>
      <c r="BG273" t="s">
        <v>74</v>
      </c>
      <c r="BH273" t="s">
        <v>74</v>
      </c>
      <c r="BI273">
        <v>15</v>
      </c>
      <c r="BJ273" t="s">
        <v>4410</v>
      </c>
      <c r="BK273" t="s">
        <v>97</v>
      </c>
      <c r="BL273" t="s">
        <v>4411</v>
      </c>
      <c r="BM273" t="s">
        <v>4501</v>
      </c>
      <c r="BN273" t="s">
        <v>74</v>
      </c>
      <c r="BO273" t="s">
        <v>124</v>
      </c>
      <c r="BP273" t="s">
        <v>74</v>
      </c>
      <c r="BQ273" t="s">
        <v>74</v>
      </c>
      <c r="BR273" t="s">
        <v>100</v>
      </c>
      <c r="BS273" t="s">
        <v>4516</v>
      </c>
      <c r="BT273" t="str">
        <f>HYPERLINK("https%3A%2F%2Fwww.webofscience.com%2Fwos%2Fwoscc%2Ffull-record%2FWOS:000250195800022","View Full Record in Web of Science")</f>
        <v>View Full Record in Web of Science</v>
      </c>
    </row>
    <row r="274" spans="1:72" x14ac:dyDescent="0.15">
      <c r="A274" t="s">
        <v>72</v>
      </c>
      <c r="B274" t="s">
        <v>4517</v>
      </c>
      <c r="C274" t="s">
        <v>74</v>
      </c>
      <c r="D274" t="s">
        <v>74</v>
      </c>
      <c r="E274" t="s">
        <v>74</v>
      </c>
      <c r="F274" t="s">
        <v>4518</v>
      </c>
      <c r="G274" t="s">
        <v>74</v>
      </c>
      <c r="H274" t="s">
        <v>74</v>
      </c>
      <c r="I274" t="s">
        <v>4519</v>
      </c>
      <c r="J274" t="s">
        <v>4399</v>
      </c>
      <c r="K274" t="s">
        <v>74</v>
      </c>
      <c r="L274" t="s">
        <v>74</v>
      </c>
      <c r="M274" t="s">
        <v>78</v>
      </c>
      <c r="N274" t="s">
        <v>79</v>
      </c>
      <c r="O274" t="s">
        <v>74</v>
      </c>
      <c r="P274" t="s">
        <v>74</v>
      </c>
      <c r="Q274" t="s">
        <v>74</v>
      </c>
      <c r="R274" t="s">
        <v>74</v>
      </c>
      <c r="S274" t="s">
        <v>74</v>
      </c>
      <c r="T274" t="s">
        <v>4520</v>
      </c>
      <c r="U274" t="s">
        <v>4521</v>
      </c>
      <c r="V274" t="s">
        <v>4522</v>
      </c>
      <c r="W274" t="s">
        <v>4523</v>
      </c>
      <c r="X274" t="s">
        <v>4524</v>
      </c>
      <c r="Y274" t="s">
        <v>4525</v>
      </c>
      <c r="Z274" t="s">
        <v>4526</v>
      </c>
      <c r="AA274" t="s">
        <v>4527</v>
      </c>
      <c r="AB274" t="s">
        <v>4528</v>
      </c>
      <c r="AC274" t="s">
        <v>4321</v>
      </c>
      <c r="AD274" t="s">
        <v>158</v>
      </c>
      <c r="AE274" t="s">
        <v>74</v>
      </c>
      <c r="AF274" t="s">
        <v>74</v>
      </c>
      <c r="AG274">
        <v>39</v>
      </c>
      <c r="AH274">
        <v>80</v>
      </c>
      <c r="AI274">
        <v>88</v>
      </c>
      <c r="AJ274">
        <v>0</v>
      </c>
      <c r="AK274">
        <v>47</v>
      </c>
      <c r="AL274" t="s">
        <v>115</v>
      </c>
      <c r="AM274" t="s">
        <v>116</v>
      </c>
      <c r="AN274" t="s">
        <v>117</v>
      </c>
      <c r="AO274" t="s">
        <v>4406</v>
      </c>
      <c r="AP274" t="s">
        <v>4423</v>
      </c>
      <c r="AQ274" t="s">
        <v>74</v>
      </c>
      <c r="AR274" t="s">
        <v>4407</v>
      </c>
      <c r="AS274" t="s">
        <v>4408</v>
      </c>
      <c r="AT274" t="s">
        <v>74</v>
      </c>
      <c r="AU274">
        <v>2007</v>
      </c>
      <c r="AV274">
        <v>345</v>
      </c>
      <c r="AW274" t="s">
        <v>74</v>
      </c>
      <c r="AX274" t="s">
        <v>74</v>
      </c>
      <c r="AY274" t="s">
        <v>74</v>
      </c>
      <c r="AZ274" t="s">
        <v>74</v>
      </c>
      <c r="BA274" t="s">
        <v>74</v>
      </c>
      <c r="BB274">
        <v>281</v>
      </c>
      <c r="BC274">
        <v>291</v>
      </c>
      <c r="BD274" t="s">
        <v>74</v>
      </c>
      <c r="BE274" t="s">
        <v>4529</v>
      </c>
      <c r="BF274" t="str">
        <f>HYPERLINK("http://dx.doi.org/10.3354/meps06991","http://dx.doi.org/10.3354/meps06991")</f>
        <v>http://dx.doi.org/10.3354/meps06991</v>
      </c>
      <c r="BG274" t="s">
        <v>74</v>
      </c>
      <c r="BH274" t="s">
        <v>74</v>
      </c>
      <c r="BI274">
        <v>11</v>
      </c>
      <c r="BJ274" t="s">
        <v>4410</v>
      </c>
      <c r="BK274" t="s">
        <v>97</v>
      </c>
      <c r="BL274" t="s">
        <v>4411</v>
      </c>
      <c r="BM274" t="s">
        <v>4501</v>
      </c>
      <c r="BN274" t="s">
        <v>74</v>
      </c>
      <c r="BO274" t="s">
        <v>4530</v>
      </c>
      <c r="BP274" t="s">
        <v>74</v>
      </c>
      <c r="BQ274" t="s">
        <v>74</v>
      </c>
      <c r="BR274" t="s">
        <v>100</v>
      </c>
      <c r="BS274" t="s">
        <v>4531</v>
      </c>
      <c r="BT274" t="str">
        <f>HYPERLINK("https%3A%2F%2Fwww.webofscience.com%2Fwos%2Fwoscc%2Ffull-record%2FWOS:000250195800024","View Full Record in Web of Science")</f>
        <v>View Full Record in Web of Science</v>
      </c>
    </row>
    <row r="275" spans="1:72" x14ac:dyDescent="0.15">
      <c r="A275" t="s">
        <v>72</v>
      </c>
      <c r="B275" t="s">
        <v>4532</v>
      </c>
      <c r="C275" t="s">
        <v>74</v>
      </c>
      <c r="D275" t="s">
        <v>74</v>
      </c>
      <c r="E275" t="s">
        <v>74</v>
      </c>
      <c r="F275" t="s">
        <v>4533</v>
      </c>
      <c r="G275" t="s">
        <v>74</v>
      </c>
      <c r="H275" t="s">
        <v>74</v>
      </c>
      <c r="I275" t="s">
        <v>4534</v>
      </c>
      <c r="J275" t="s">
        <v>4399</v>
      </c>
      <c r="K275" t="s">
        <v>74</v>
      </c>
      <c r="L275" t="s">
        <v>74</v>
      </c>
      <c r="M275" t="s">
        <v>78</v>
      </c>
      <c r="N275" t="s">
        <v>79</v>
      </c>
      <c r="O275" t="s">
        <v>74</v>
      </c>
      <c r="P275" t="s">
        <v>74</v>
      </c>
      <c r="Q275" t="s">
        <v>74</v>
      </c>
      <c r="R275" t="s">
        <v>74</v>
      </c>
      <c r="S275" t="s">
        <v>74</v>
      </c>
      <c r="T275" t="s">
        <v>4535</v>
      </c>
      <c r="U275" t="s">
        <v>4536</v>
      </c>
      <c r="V275" t="s">
        <v>4537</v>
      </c>
      <c r="W275" t="s">
        <v>4538</v>
      </c>
      <c r="X275" t="s">
        <v>4539</v>
      </c>
      <c r="Y275" t="s">
        <v>4540</v>
      </c>
      <c r="Z275" t="s">
        <v>4541</v>
      </c>
      <c r="AA275" t="s">
        <v>4542</v>
      </c>
      <c r="AB275" t="s">
        <v>4543</v>
      </c>
      <c r="AC275" t="s">
        <v>74</v>
      </c>
      <c r="AD275" t="s">
        <v>74</v>
      </c>
      <c r="AE275" t="s">
        <v>74</v>
      </c>
      <c r="AF275" t="s">
        <v>74</v>
      </c>
      <c r="AG275">
        <v>61</v>
      </c>
      <c r="AH275">
        <v>30</v>
      </c>
      <c r="AI275">
        <v>31</v>
      </c>
      <c r="AJ275">
        <v>0</v>
      </c>
      <c r="AK275">
        <v>11</v>
      </c>
      <c r="AL275" t="s">
        <v>115</v>
      </c>
      <c r="AM275" t="s">
        <v>116</v>
      </c>
      <c r="AN275" t="s">
        <v>117</v>
      </c>
      <c r="AO275" t="s">
        <v>4406</v>
      </c>
      <c r="AP275" t="s">
        <v>74</v>
      </c>
      <c r="AQ275" t="s">
        <v>74</v>
      </c>
      <c r="AR275" t="s">
        <v>4407</v>
      </c>
      <c r="AS275" t="s">
        <v>4408</v>
      </c>
      <c r="AT275" t="s">
        <v>74</v>
      </c>
      <c r="AU275">
        <v>2007</v>
      </c>
      <c r="AV275">
        <v>344</v>
      </c>
      <c r="AW275" t="s">
        <v>74</v>
      </c>
      <c r="AX275" t="s">
        <v>74</v>
      </c>
      <c r="AY275" t="s">
        <v>74</v>
      </c>
      <c r="AZ275" t="s">
        <v>74</v>
      </c>
      <c r="BA275" t="s">
        <v>74</v>
      </c>
      <c r="BB275">
        <v>29</v>
      </c>
      <c r="BC275">
        <v>37</v>
      </c>
      <c r="BD275" t="s">
        <v>74</v>
      </c>
      <c r="BE275" t="s">
        <v>4544</v>
      </c>
      <c r="BF275" t="str">
        <f>HYPERLINK("http://dx.doi.org/10.3354/meps06966","http://dx.doi.org/10.3354/meps06966")</f>
        <v>http://dx.doi.org/10.3354/meps06966</v>
      </c>
      <c r="BG275" t="s">
        <v>74</v>
      </c>
      <c r="BH275" t="s">
        <v>74</v>
      </c>
      <c r="BI275">
        <v>9</v>
      </c>
      <c r="BJ275" t="s">
        <v>4410</v>
      </c>
      <c r="BK275" t="s">
        <v>97</v>
      </c>
      <c r="BL275" t="s">
        <v>4411</v>
      </c>
      <c r="BM275" t="s">
        <v>4545</v>
      </c>
      <c r="BN275" t="s">
        <v>74</v>
      </c>
      <c r="BO275" t="s">
        <v>124</v>
      </c>
      <c r="BP275" t="s">
        <v>74</v>
      </c>
      <c r="BQ275" t="s">
        <v>74</v>
      </c>
      <c r="BR275" t="s">
        <v>100</v>
      </c>
      <c r="BS275" t="s">
        <v>4546</v>
      </c>
      <c r="BT275" t="str">
        <f>HYPERLINK("https%3A%2F%2Fwww.webofscience.com%2Fwos%2Fwoscc%2Ffull-record%2FWOS:000249816300003","View Full Record in Web of Science")</f>
        <v>View Full Record in Web of Science</v>
      </c>
    </row>
    <row r="276" spans="1:72" x14ac:dyDescent="0.15">
      <c r="A276" t="s">
        <v>72</v>
      </c>
      <c r="B276" t="s">
        <v>4547</v>
      </c>
      <c r="C276" t="s">
        <v>74</v>
      </c>
      <c r="D276" t="s">
        <v>74</v>
      </c>
      <c r="E276" t="s">
        <v>74</v>
      </c>
      <c r="F276" t="s">
        <v>4548</v>
      </c>
      <c r="G276" t="s">
        <v>74</v>
      </c>
      <c r="H276" t="s">
        <v>74</v>
      </c>
      <c r="I276" t="s">
        <v>4549</v>
      </c>
      <c r="J276" t="s">
        <v>4399</v>
      </c>
      <c r="K276" t="s">
        <v>74</v>
      </c>
      <c r="L276" t="s">
        <v>74</v>
      </c>
      <c r="M276" t="s">
        <v>78</v>
      </c>
      <c r="N276" t="s">
        <v>79</v>
      </c>
      <c r="O276" t="s">
        <v>74</v>
      </c>
      <c r="P276" t="s">
        <v>74</v>
      </c>
      <c r="Q276" t="s">
        <v>74</v>
      </c>
      <c r="R276" t="s">
        <v>74</v>
      </c>
      <c r="S276" t="s">
        <v>74</v>
      </c>
      <c r="T276" t="s">
        <v>4550</v>
      </c>
      <c r="U276" t="s">
        <v>4551</v>
      </c>
      <c r="V276" t="s">
        <v>4552</v>
      </c>
      <c r="W276" t="s">
        <v>4553</v>
      </c>
      <c r="X276" t="s">
        <v>4554</v>
      </c>
      <c r="Y276" t="s">
        <v>4555</v>
      </c>
      <c r="Z276" t="s">
        <v>4556</v>
      </c>
      <c r="AA276" t="s">
        <v>4557</v>
      </c>
      <c r="AB276" t="s">
        <v>4558</v>
      </c>
      <c r="AC276" t="s">
        <v>74</v>
      </c>
      <c r="AD276" t="s">
        <v>74</v>
      </c>
      <c r="AE276" t="s">
        <v>74</v>
      </c>
      <c r="AF276" t="s">
        <v>74</v>
      </c>
      <c r="AG276">
        <v>57</v>
      </c>
      <c r="AH276">
        <v>42</v>
      </c>
      <c r="AI276">
        <v>48</v>
      </c>
      <c r="AJ276">
        <v>1</v>
      </c>
      <c r="AK276">
        <v>23</v>
      </c>
      <c r="AL276" t="s">
        <v>115</v>
      </c>
      <c r="AM276" t="s">
        <v>116</v>
      </c>
      <c r="AN276" t="s">
        <v>117</v>
      </c>
      <c r="AO276" t="s">
        <v>4406</v>
      </c>
      <c r="AP276" t="s">
        <v>4423</v>
      </c>
      <c r="AQ276" t="s">
        <v>74</v>
      </c>
      <c r="AR276" t="s">
        <v>4407</v>
      </c>
      <c r="AS276" t="s">
        <v>4408</v>
      </c>
      <c r="AT276" t="s">
        <v>74</v>
      </c>
      <c r="AU276">
        <v>2007</v>
      </c>
      <c r="AV276">
        <v>344</v>
      </c>
      <c r="AW276" t="s">
        <v>74</v>
      </c>
      <c r="AX276" t="s">
        <v>74</v>
      </c>
      <c r="AY276" t="s">
        <v>74</v>
      </c>
      <c r="AZ276" t="s">
        <v>74</v>
      </c>
      <c r="BA276" t="s">
        <v>74</v>
      </c>
      <c r="BB276">
        <v>277</v>
      </c>
      <c r="BC276">
        <v>297</v>
      </c>
      <c r="BD276" t="s">
        <v>74</v>
      </c>
      <c r="BE276" t="s">
        <v>4559</v>
      </c>
      <c r="BF276" t="str">
        <f>HYPERLINK("http://dx.doi.org/10.3354/meps06873","http://dx.doi.org/10.3354/meps06873")</f>
        <v>http://dx.doi.org/10.3354/meps06873</v>
      </c>
      <c r="BG276" t="s">
        <v>74</v>
      </c>
      <c r="BH276" t="s">
        <v>74</v>
      </c>
      <c r="BI276">
        <v>21</v>
      </c>
      <c r="BJ276" t="s">
        <v>4410</v>
      </c>
      <c r="BK276" t="s">
        <v>97</v>
      </c>
      <c r="BL276" t="s">
        <v>4411</v>
      </c>
      <c r="BM276" t="s">
        <v>4545</v>
      </c>
      <c r="BN276" t="s">
        <v>74</v>
      </c>
      <c r="BO276" t="s">
        <v>3708</v>
      </c>
      <c r="BP276" t="s">
        <v>74</v>
      </c>
      <c r="BQ276" t="s">
        <v>74</v>
      </c>
      <c r="BR276" t="s">
        <v>100</v>
      </c>
      <c r="BS276" t="s">
        <v>4560</v>
      </c>
      <c r="BT276" t="str">
        <f>HYPERLINK("https%3A%2F%2Fwww.webofscience.com%2Fwos%2Fwoscc%2Ffull-record%2FWOS:000249816300024","View Full Record in Web of Science")</f>
        <v>View Full Record in Web of Science</v>
      </c>
    </row>
    <row r="277" spans="1:72" x14ac:dyDescent="0.15">
      <c r="A277" t="s">
        <v>72</v>
      </c>
      <c r="B277" t="s">
        <v>4561</v>
      </c>
      <c r="C277" t="s">
        <v>74</v>
      </c>
      <c r="D277" t="s">
        <v>74</v>
      </c>
      <c r="E277" t="s">
        <v>74</v>
      </c>
      <c r="F277" t="s">
        <v>4562</v>
      </c>
      <c r="G277" t="s">
        <v>74</v>
      </c>
      <c r="H277" t="s">
        <v>74</v>
      </c>
      <c r="I277" t="s">
        <v>4563</v>
      </c>
      <c r="J277" t="s">
        <v>4399</v>
      </c>
      <c r="K277" t="s">
        <v>74</v>
      </c>
      <c r="L277" t="s">
        <v>74</v>
      </c>
      <c r="M277" t="s">
        <v>78</v>
      </c>
      <c r="N277" t="s">
        <v>366</v>
      </c>
      <c r="O277" t="s">
        <v>74</v>
      </c>
      <c r="P277" t="s">
        <v>74</v>
      </c>
      <c r="Q277" t="s">
        <v>74</v>
      </c>
      <c r="R277" t="s">
        <v>74</v>
      </c>
      <c r="S277" t="s">
        <v>74</v>
      </c>
      <c r="T277" t="s">
        <v>4564</v>
      </c>
      <c r="U277" t="s">
        <v>4565</v>
      </c>
      <c r="V277" t="s">
        <v>4566</v>
      </c>
      <c r="W277" t="s">
        <v>4567</v>
      </c>
      <c r="X277" t="s">
        <v>720</v>
      </c>
      <c r="Y277" t="s">
        <v>4568</v>
      </c>
      <c r="Z277" t="s">
        <v>4569</v>
      </c>
      <c r="AA277" t="s">
        <v>4570</v>
      </c>
      <c r="AB277" t="s">
        <v>4571</v>
      </c>
      <c r="AC277" t="s">
        <v>74</v>
      </c>
      <c r="AD277" t="s">
        <v>74</v>
      </c>
      <c r="AE277" t="s">
        <v>74</v>
      </c>
      <c r="AF277" t="s">
        <v>74</v>
      </c>
      <c r="AG277">
        <v>106</v>
      </c>
      <c r="AH277">
        <v>96</v>
      </c>
      <c r="AI277">
        <v>111</v>
      </c>
      <c r="AJ277">
        <v>0</v>
      </c>
      <c r="AK277">
        <v>59</v>
      </c>
      <c r="AL277" t="s">
        <v>115</v>
      </c>
      <c r="AM277" t="s">
        <v>116</v>
      </c>
      <c r="AN277" t="s">
        <v>117</v>
      </c>
      <c r="AO277" t="s">
        <v>4406</v>
      </c>
      <c r="AP277" t="s">
        <v>4423</v>
      </c>
      <c r="AQ277" t="s">
        <v>74</v>
      </c>
      <c r="AR277" t="s">
        <v>4407</v>
      </c>
      <c r="AS277" t="s">
        <v>4408</v>
      </c>
      <c r="AT277" t="s">
        <v>74</v>
      </c>
      <c r="AU277">
        <v>2007</v>
      </c>
      <c r="AV277">
        <v>343</v>
      </c>
      <c r="AW277" t="s">
        <v>74</v>
      </c>
      <c r="AX277" t="s">
        <v>74</v>
      </c>
      <c r="AY277" t="s">
        <v>74</v>
      </c>
      <c r="AZ277" t="s">
        <v>74</v>
      </c>
      <c r="BA277" t="s">
        <v>74</v>
      </c>
      <c r="BB277">
        <v>87</v>
      </c>
      <c r="BC277">
        <v>99</v>
      </c>
      <c r="BD277" t="s">
        <v>74</v>
      </c>
      <c r="BE277" t="s">
        <v>4572</v>
      </c>
      <c r="BF277" t="str">
        <f>HYPERLINK("http://dx.doi.org/10.3354/meps06860","http://dx.doi.org/10.3354/meps06860")</f>
        <v>http://dx.doi.org/10.3354/meps06860</v>
      </c>
      <c r="BG277" t="s">
        <v>74</v>
      </c>
      <c r="BH277" t="s">
        <v>74</v>
      </c>
      <c r="BI277">
        <v>13</v>
      </c>
      <c r="BJ277" t="s">
        <v>4410</v>
      </c>
      <c r="BK277" t="s">
        <v>97</v>
      </c>
      <c r="BL277" t="s">
        <v>4411</v>
      </c>
      <c r="BM277" t="s">
        <v>4573</v>
      </c>
      <c r="BN277" t="s">
        <v>74</v>
      </c>
      <c r="BO277" t="s">
        <v>124</v>
      </c>
      <c r="BP277" t="s">
        <v>74</v>
      </c>
      <c r="BQ277" t="s">
        <v>74</v>
      </c>
      <c r="BR277" t="s">
        <v>100</v>
      </c>
      <c r="BS277" t="s">
        <v>4574</v>
      </c>
      <c r="BT277" t="str">
        <f>HYPERLINK("https%3A%2F%2Fwww.webofscience.com%2Fwos%2Fwoscc%2Ffull-record%2FWOS:000249163800009","View Full Record in Web of Science")</f>
        <v>View Full Record in Web of Science</v>
      </c>
    </row>
    <row r="278" spans="1:72" x14ac:dyDescent="0.15">
      <c r="A278" t="s">
        <v>72</v>
      </c>
      <c r="B278" t="s">
        <v>4575</v>
      </c>
      <c r="C278" t="s">
        <v>74</v>
      </c>
      <c r="D278" t="s">
        <v>74</v>
      </c>
      <c r="E278" t="s">
        <v>74</v>
      </c>
      <c r="F278" t="s">
        <v>4576</v>
      </c>
      <c r="G278" t="s">
        <v>74</v>
      </c>
      <c r="H278" t="s">
        <v>74</v>
      </c>
      <c r="I278" t="s">
        <v>4577</v>
      </c>
      <c r="J278" t="s">
        <v>4399</v>
      </c>
      <c r="K278" t="s">
        <v>74</v>
      </c>
      <c r="L278" t="s">
        <v>74</v>
      </c>
      <c r="M278" t="s">
        <v>78</v>
      </c>
      <c r="N278" t="s">
        <v>79</v>
      </c>
      <c r="O278" t="s">
        <v>74</v>
      </c>
      <c r="P278" t="s">
        <v>74</v>
      </c>
      <c r="Q278" t="s">
        <v>74</v>
      </c>
      <c r="R278" t="s">
        <v>74</v>
      </c>
      <c r="S278" t="s">
        <v>74</v>
      </c>
      <c r="T278" t="s">
        <v>4578</v>
      </c>
      <c r="U278" t="s">
        <v>4579</v>
      </c>
      <c r="V278" t="s">
        <v>4580</v>
      </c>
      <c r="W278" t="s">
        <v>4581</v>
      </c>
      <c r="X278" t="s">
        <v>4582</v>
      </c>
      <c r="Y278" t="s">
        <v>4583</v>
      </c>
      <c r="Z278" t="s">
        <v>4584</v>
      </c>
      <c r="AA278" t="s">
        <v>4585</v>
      </c>
      <c r="AB278" t="s">
        <v>4586</v>
      </c>
      <c r="AC278" t="s">
        <v>4321</v>
      </c>
      <c r="AD278" t="s">
        <v>158</v>
      </c>
      <c r="AE278" t="s">
        <v>74</v>
      </c>
      <c r="AF278" t="s">
        <v>74</v>
      </c>
      <c r="AG278">
        <v>66</v>
      </c>
      <c r="AH278">
        <v>18</v>
      </c>
      <c r="AI278">
        <v>24</v>
      </c>
      <c r="AJ278">
        <v>0</v>
      </c>
      <c r="AK278">
        <v>15</v>
      </c>
      <c r="AL278" t="s">
        <v>115</v>
      </c>
      <c r="AM278" t="s">
        <v>116</v>
      </c>
      <c r="AN278" t="s">
        <v>117</v>
      </c>
      <c r="AO278" t="s">
        <v>4406</v>
      </c>
      <c r="AP278" t="s">
        <v>4423</v>
      </c>
      <c r="AQ278" t="s">
        <v>74</v>
      </c>
      <c r="AR278" t="s">
        <v>4407</v>
      </c>
      <c r="AS278" t="s">
        <v>4408</v>
      </c>
      <c r="AT278" t="s">
        <v>74</v>
      </c>
      <c r="AU278">
        <v>2007</v>
      </c>
      <c r="AV278">
        <v>343</v>
      </c>
      <c r="AW278" t="s">
        <v>74</v>
      </c>
      <c r="AX278" t="s">
        <v>74</v>
      </c>
      <c r="AY278" t="s">
        <v>74</v>
      </c>
      <c r="AZ278" t="s">
        <v>74</v>
      </c>
      <c r="BA278" t="s">
        <v>74</v>
      </c>
      <c r="BB278">
        <v>193</v>
      </c>
      <c r="BC278">
        <v>206</v>
      </c>
      <c r="BD278" t="s">
        <v>74</v>
      </c>
      <c r="BE278" t="s">
        <v>4587</v>
      </c>
      <c r="BF278" t="str">
        <f>HYPERLINK("http://dx.doi.org/10.3354/meps06908","http://dx.doi.org/10.3354/meps06908")</f>
        <v>http://dx.doi.org/10.3354/meps06908</v>
      </c>
      <c r="BG278" t="s">
        <v>74</v>
      </c>
      <c r="BH278" t="s">
        <v>74</v>
      </c>
      <c r="BI278">
        <v>14</v>
      </c>
      <c r="BJ278" t="s">
        <v>4410</v>
      </c>
      <c r="BK278" t="s">
        <v>97</v>
      </c>
      <c r="BL278" t="s">
        <v>4411</v>
      </c>
      <c r="BM278" t="s">
        <v>4573</v>
      </c>
      <c r="BN278" t="s">
        <v>74</v>
      </c>
      <c r="BO278" t="s">
        <v>4530</v>
      </c>
      <c r="BP278" t="s">
        <v>74</v>
      </c>
      <c r="BQ278" t="s">
        <v>74</v>
      </c>
      <c r="BR278" t="s">
        <v>100</v>
      </c>
      <c r="BS278" t="s">
        <v>4588</v>
      </c>
      <c r="BT278" t="str">
        <f>HYPERLINK("https%3A%2F%2Fwww.webofscience.com%2Fwos%2Fwoscc%2Ffull-record%2FWOS:000249163800020","View Full Record in Web of Science")</f>
        <v>View Full Record in Web of Science</v>
      </c>
    </row>
    <row r="279" spans="1:72" x14ac:dyDescent="0.15">
      <c r="A279" t="s">
        <v>72</v>
      </c>
      <c r="B279" t="s">
        <v>4589</v>
      </c>
      <c r="C279" t="s">
        <v>74</v>
      </c>
      <c r="D279" t="s">
        <v>74</v>
      </c>
      <c r="E279" t="s">
        <v>74</v>
      </c>
      <c r="F279" t="s">
        <v>4590</v>
      </c>
      <c r="G279" t="s">
        <v>74</v>
      </c>
      <c r="H279" t="s">
        <v>74</v>
      </c>
      <c r="I279" t="s">
        <v>4591</v>
      </c>
      <c r="J279" t="s">
        <v>4399</v>
      </c>
      <c r="K279" t="s">
        <v>74</v>
      </c>
      <c r="L279" t="s">
        <v>74</v>
      </c>
      <c r="M279" t="s">
        <v>78</v>
      </c>
      <c r="N279" t="s">
        <v>79</v>
      </c>
      <c r="O279" t="s">
        <v>74</v>
      </c>
      <c r="P279" t="s">
        <v>74</v>
      </c>
      <c r="Q279" t="s">
        <v>74</v>
      </c>
      <c r="R279" t="s">
        <v>74</v>
      </c>
      <c r="S279" t="s">
        <v>74</v>
      </c>
      <c r="T279" t="s">
        <v>4592</v>
      </c>
      <c r="U279" t="s">
        <v>4593</v>
      </c>
      <c r="V279" t="s">
        <v>4594</v>
      </c>
      <c r="W279" t="s">
        <v>4595</v>
      </c>
      <c r="X279" t="s">
        <v>4596</v>
      </c>
      <c r="Y279" t="s">
        <v>4597</v>
      </c>
      <c r="Z279" t="s">
        <v>4598</v>
      </c>
      <c r="AA279" t="s">
        <v>4599</v>
      </c>
      <c r="AB279" t="s">
        <v>4600</v>
      </c>
      <c r="AC279" t="s">
        <v>4484</v>
      </c>
      <c r="AD279" t="s">
        <v>1254</v>
      </c>
      <c r="AE279" t="s">
        <v>74</v>
      </c>
      <c r="AF279" t="s">
        <v>74</v>
      </c>
      <c r="AG279">
        <v>38</v>
      </c>
      <c r="AH279">
        <v>47</v>
      </c>
      <c r="AI279">
        <v>53</v>
      </c>
      <c r="AJ279">
        <v>0</v>
      </c>
      <c r="AK279">
        <v>10</v>
      </c>
      <c r="AL279" t="s">
        <v>115</v>
      </c>
      <c r="AM279" t="s">
        <v>116</v>
      </c>
      <c r="AN279" t="s">
        <v>117</v>
      </c>
      <c r="AO279" t="s">
        <v>4406</v>
      </c>
      <c r="AP279" t="s">
        <v>4423</v>
      </c>
      <c r="AQ279" t="s">
        <v>74</v>
      </c>
      <c r="AR279" t="s">
        <v>4407</v>
      </c>
      <c r="AS279" t="s">
        <v>4408</v>
      </c>
      <c r="AT279" t="s">
        <v>74</v>
      </c>
      <c r="AU279">
        <v>2007</v>
      </c>
      <c r="AV279">
        <v>340</v>
      </c>
      <c r="AW279" t="s">
        <v>74</v>
      </c>
      <c r="AX279" t="s">
        <v>74</v>
      </c>
      <c r="AY279" t="s">
        <v>74</v>
      </c>
      <c r="AZ279" t="s">
        <v>74</v>
      </c>
      <c r="BA279" t="s">
        <v>74</v>
      </c>
      <c r="BB279">
        <v>189</v>
      </c>
      <c r="BC279">
        <v>205</v>
      </c>
      <c r="BD279" t="s">
        <v>74</v>
      </c>
      <c r="BE279" t="s">
        <v>4601</v>
      </c>
      <c r="BF279" t="str">
        <f>HYPERLINK("http://dx.doi.org/10.3354/meps340189","http://dx.doi.org/10.3354/meps340189")</f>
        <v>http://dx.doi.org/10.3354/meps340189</v>
      </c>
      <c r="BG279" t="s">
        <v>74</v>
      </c>
      <c r="BH279" t="s">
        <v>74</v>
      </c>
      <c r="BI279">
        <v>17</v>
      </c>
      <c r="BJ279" t="s">
        <v>4410</v>
      </c>
      <c r="BK279" t="s">
        <v>97</v>
      </c>
      <c r="BL279" t="s">
        <v>4411</v>
      </c>
      <c r="BM279" t="s">
        <v>4602</v>
      </c>
      <c r="BN279" t="s">
        <v>74</v>
      </c>
      <c r="BO279" t="s">
        <v>4486</v>
      </c>
      <c r="BP279" t="s">
        <v>74</v>
      </c>
      <c r="BQ279" t="s">
        <v>74</v>
      </c>
      <c r="BR279" t="s">
        <v>100</v>
      </c>
      <c r="BS279" t="s">
        <v>4603</v>
      </c>
      <c r="BT279" t="str">
        <f>HYPERLINK("https%3A%2F%2Fwww.webofscience.com%2Fwos%2Fwoscc%2Ffull-record%2FWOS:000248011500017","View Full Record in Web of Science")</f>
        <v>View Full Record in Web of Science</v>
      </c>
    </row>
    <row r="280" spans="1:72" x14ac:dyDescent="0.15">
      <c r="A280" t="s">
        <v>72</v>
      </c>
      <c r="B280" t="s">
        <v>4604</v>
      </c>
      <c r="C280" t="s">
        <v>74</v>
      </c>
      <c r="D280" t="s">
        <v>74</v>
      </c>
      <c r="E280" t="s">
        <v>74</v>
      </c>
      <c r="F280" t="s">
        <v>4605</v>
      </c>
      <c r="G280" t="s">
        <v>74</v>
      </c>
      <c r="H280" t="s">
        <v>74</v>
      </c>
      <c r="I280" t="s">
        <v>4606</v>
      </c>
      <c r="J280" t="s">
        <v>4399</v>
      </c>
      <c r="K280" t="s">
        <v>74</v>
      </c>
      <c r="L280" t="s">
        <v>74</v>
      </c>
      <c r="M280" t="s">
        <v>78</v>
      </c>
      <c r="N280" t="s">
        <v>79</v>
      </c>
      <c r="O280" t="s">
        <v>74</v>
      </c>
      <c r="P280" t="s">
        <v>74</v>
      </c>
      <c r="Q280" t="s">
        <v>74</v>
      </c>
      <c r="R280" t="s">
        <v>74</v>
      </c>
      <c r="S280" t="s">
        <v>74</v>
      </c>
      <c r="T280" t="s">
        <v>4607</v>
      </c>
      <c r="U280" t="s">
        <v>4608</v>
      </c>
      <c r="V280" t="s">
        <v>4609</v>
      </c>
      <c r="W280" t="s">
        <v>4610</v>
      </c>
      <c r="X280" t="s">
        <v>4611</v>
      </c>
      <c r="Y280" t="s">
        <v>4612</v>
      </c>
      <c r="Z280" t="s">
        <v>4613</v>
      </c>
      <c r="AA280" t="s">
        <v>4614</v>
      </c>
      <c r="AB280" t="s">
        <v>4615</v>
      </c>
      <c r="AC280" t="s">
        <v>4484</v>
      </c>
      <c r="AD280" t="s">
        <v>1254</v>
      </c>
      <c r="AE280" t="s">
        <v>74</v>
      </c>
      <c r="AF280" t="s">
        <v>74</v>
      </c>
      <c r="AG280">
        <v>53</v>
      </c>
      <c r="AH280">
        <v>129</v>
      </c>
      <c r="AI280">
        <v>136</v>
      </c>
      <c r="AJ280">
        <v>1</v>
      </c>
      <c r="AK280">
        <v>73</v>
      </c>
      <c r="AL280" t="s">
        <v>115</v>
      </c>
      <c r="AM280" t="s">
        <v>116</v>
      </c>
      <c r="AN280" t="s">
        <v>117</v>
      </c>
      <c r="AO280" t="s">
        <v>4406</v>
      </c>
      <c r="AP280" t="s">
        <v>4423</v>
      </c>
      <c r="AQ280" t="s">
        <v>74</v>
      </c>
      <c r="AR280" t="s">
        <v>4407</v>
      </c>
      <c r="AS280" t="s">
        <v>4408</v>
      </c>
      <c r="AT280" t="s">
        <v>74</v>
      </c>
      <c r="AU280">
        <v>2007</v>
      </c>
      <c r="AV280">
        <v>340</v>
      </c>
      <c r="AW280" t="s">
        <v>74</v>
      </c>
      <c r="AX280" t="s">
        <v>74</v>
      </c>
      <c r="AY280" t="s">
        <v>74</v>
      </c>
      <c r="AZ280" t="s">
        <v>74</v>
      </c>
      <c r="BA280" t="s">
        <v>74</v>
      </c>
      <c r="BB280">
        <v>271</v>
      </c>
      <c r="BC280">
        <v>286</v>
      </c>
      <c r="BD280" t="s">
        <v>74</v>
      </c>
      <c r="BE280" t="s">
        <v>4616</v>
      </c>
      <c r="BF280" t="str">
        <f>HYPERLINK("http://dx.doi.org/10.3354/meps340271","http://dx.doi.org/10.3354/meps340271")</f>
        <v>http://dx.doi.org/10.3354/meps340271</v>
      </c>
      <c r="BG280" t="s">
        <v>74</v>
      </c>
      <c r="BH280" t="s">
        <v>74</v>
      </c>
      <c r="BI280">
        <v>16</v>
      </c>
      <c r="BJ280" t="s">
        <v>4410</v>
      </c>
      <c r="BK280" t="s">
        <v>97</v>
      </c>
      <c r="BL280" t="s">
        <v>4411</v>
      </c>
      <c r="BM280" t="s">
        <v>4602</v>
      </c>
      <c r="BN280" t="s">
        <v>74</v>
      </c>
      <c r="BO280" t="s">
        <v>4617</v>
      </c>
      <c r="BP280" t="s">
        <v>74</v>
      </c>
      <c r="BQ280" t="s">
        <v>74</v>
      </c>
      <c r="BR280" t="s">
        <v>100</v>
      </c>
      <c r="BS280" t="s">
        <v>4618</v>
      </c>
      <c r="BT280" t="str">
        <f>HYPERLINK("https%3A%2F%2Fwww.webofscience.com%2Fwos%2Fwoscc%2Ffull-record%2FWOS:000248011500023","View Full Record in Web of Science")</f>
        <v>View Full Record in Web of Science</v>
      </c>
    </row>
    <row r="281" spans="1:72" x14ac:dyDescent="0.15">
      <c r="A281" t="s">
        <v>72</v>
      </c>
      <c r="B281" t="s">
        <v>4619</v>
      </c>
      <c r="C281" t="s">
        <v>74</v>
      </c>
      <c r="D281" t="s">
        <v>74</v>
      </c>
      <c r="E281" t="s">
        <v>74</v>
      </c>
      <c r="F281" t="s">
        <v>4620</v>
      </c>
      <c r="G281" t="s">
        <v>74</v>
      </c>
      <c r="H281" t="s">
        <v>74</v>
      </c>
      <c r="I281" t="s">
        <v>4621</v>
      </c>
      <c r="J281" t="s">
        <v>4399</v>
      </c>
      <c r="K281" t="s">
        <v>74</v>
      </c>
      <c r="L281" t="s">
        <v>74</v>
      </c>
      <c r="M281" t="s">
        <v>78</v>
      </c>
      <c r="N281" t="s">
        <v>79</v>
      </c>
      <c r="O281" t="s">
        <v>74</v>
      </c>
      <c r="P281" t="s">
        <v>74</v>
      </c>
      <c r="Q281" t="s">
        <v>74</v>
      </c>
      <c r="R281" t="s">
        <v>74</v>
      </c>
      <c r="S281" t="s">
        <v>74</v>
      </c>
      <c r="T281" t="s">
        <v>4622</v>
      </c>
      <c r="U281" t="s">
        <v>4623</v>
      </c>
      <c r="V281" t="s">
        <v>4624</v>
      </c>
      <c r="W281" t="s">
        <v>4625</v>
      </c>
      <c r="X281" t="s">
        <v>4626</v>
      </c>
      <c r="Y281" t="s">
        <v>4627</v>
      </c>
      <c r="Z281" t="s">
        <v>4628</v>
      </c>
      <c r="AA281" t="s">
        <v>4629</v>
      </c>
      <c r="AB281" t="s">
        <v>74</v>
      </c>
      <c r="AC281" t="s">
        <v>74</v>
      </c>
      <c r="AD281" t="s">
        <v>74</v>
      </c>
      <c r="AE281" t="s">
        <v>74</v>
      </c>
      <c r="AF281" t="s">
        <v>74</v>
      </c>
      <c r="AG281">
        <v>14</v>
      </c>
      <c r="AH281">
        <v>80</v>
      </c>
      <c r="AI281">
        <v>81</v>
      </c>
      <c r="AJ281">
        <v>2</v>
      </c>
      <c r="AK281">
        <v>37</v>
      </c>
      <c r="AL281" t="s">
        <v>115</v>
      </c>
      <c r="AM281" t="s">
        <v>116</v>
      </c>
      <c r="AN281" t="s">
        <v>117</v>
      </c>
      <c r="AO281" t="s">
        <v>4406</v>
      </c>
      <c r="AP281" t="s">
        <v>74</v>
      </c>
      <c r="AQ281" t="s">
        <v>74</v>
      </c>
      <c r="AR281" t="s">
        <v>4407</v>
      </c>
      <c r="AS281" t="s">
        <v>4408</v>
      </c>
      <c r="AT281" t="s">
        <v>74</v>
      </c>
      <c r="AU281">
        <v>2007</v>
      </c>
      <c r="AV281">
        <v>339</v>
      </c>
      <c r="AW281" t="s">
        <v>74</v>
      </c>
      <c r="AX281" t="s">
        <v>74</v>
      </c>
      <c r="AY281" t="s">
        <v>74</v>
      </c>
      <c r="AZ281" t="s">
        <v>74</v>
      </c>
      <c r="BA281" t="s">
        <v>74</v>
      </c>
      <c r="BB281">
        <v>307</v>
      </c>
      <c r="BC281">
        <v>310</v>
      </c>
      <c r="BD281" t="s">
        <v>74</v>
      </c>
      <c r="BE281" t="s">
        <v>4630</v>
      </c>
      <c r="BF281" t="str">
        <f>HYPERLINK("http://dx.doi.org/10.3354/meps339307","http://dx.doi.org/10.3354/meps339307")</f>
        <v>http://dx.doi.org/10.3354/meps339307</v>
      </c>
      <c r="BG281" t="s">
        <v>74</v>
      </c>
      <c r="BH281" t="s">
        <v>74</v>
      </c>
      <c r="BI281">
        <v>4</v>
      </c>
      <c r="BJ281" t="s">
        <v>4410</v>
      </c>
      <c r="BK281" t="s">
        <v>97</v>
      </c>
      <c r="BL281" t="s">
        <v>4411</v>
      </c>
      <c r="BM281" t="s">
        <v>4631</v>
      </c>
      <c r="BN281" t="s">
        <v>74</v>
      </c>
      <c r="BO281" t="s">
        <v>124</v>
      </c>
      <c r="BP281" t="s">
        <v>74</v>
      </c>
      <c r="BQ281" t="s">
        <v>74</v>
      </c>
      <c r="BR281" t="s">
        <v>100</v>
      </c>
      <c r="BS281" t="s">
        <v>4632</v>
      </c>
      <c r="BT281" t="str">
        <f>HYPERLINK("https%3A%2F%2Fwww.webofscience.com%2Fwos%2Fwoscc%2Ffull-record%2FWOS:000247713900027","View Full Record in Web of Science")</f>
        <v>View Full Record in Web of Science</v>
      </c>
    </row>
    <row r="282" spans="1:72" x14ac:dyDescent="0.15">
      <c r="A282" t="s">
        <v>72</v>
      </c>
      <c r="B282" t="s">
        <v>4633</v>
      </c>
      <c r="C282" t="s">
        <v>74</v>
      </c>
      <c r="D282" t="s">
        <v>74</v>
      </c>
      <c r="E282" t="s">
        <v>74</v>
      </c>
      <c r="F282" t="s">
        <v>4634</v>
      </c>
      <c r="G282" t="s">
        <v>74</v>
      </c>
      <c r="H282" t="s">
        <v>74</v>
      </c>
      <c r="I282" t="s">
        <v>4635</v>
      </c>
      <c r="J282" t="s">
        <v>4399</v>
      </c>
      <c r="K282" t="s">
        <v>74</v>
      </c>
      <c r="L282" t="s">
        <v>74</v>
      </c>
      <c r="M282" t="s">
        <v>78</v>
      </c>
      <c r="N282" t="s">
        <v>79</v>
      </c>
      <c r="O282" t="s">
        <v>74</v>
      </c>
      <c r="P282" t="s">
        <v>74</v>
      </c>
      <c r="Q282" t="s">
        <v>74</v>
      </c>
      <c r="R282" t="s">
        <v>74</v>
      </c>
      <c r="S282" t="s">
        <v>74</v>
      </c>
      <c r="T282" t="s">
        <v>4636</v>
      </c>
      <c r="U282" t="s">
        <v>4637</v>
      </c>
      <c r="V282" t="s">
        <v>4638</v>
      </c>
      <c r="W282" t="s">
        <v>4639</v>
      </c>
      <c r="X282" t="s">
        <v>4640</v>
      </c>
      <c r="Y282" t="s">
        <v>4641</v>
      </c>
      <c r="Z282" t="s">
        <v>4642</v>
      </c>
      <c r="AA282" t="s">
        <v>4643</v>
      </c>
      <c r="AB282" t="s">
        <v>4644</v>
      </c>
      <c r="AC282" t="s">
        <v>74</v>
      </c>
      <c r="AD282" t="s">
        <v>74</v>
      </c>
      <c r="AE282" t="s">
        <v>74</v>
      </c>
      <c r="AF282" t="s">
        <v>74</v>
      </c>
      <c r="AG282">
        <v>36</v>
      </c>
      <c r="AH282">
        <v>17</v>
      </c>
      <c r="AI282">
        <v>17</v>
      </c>
      <c r="AJ282">
        <v>1</v>
      </c>
      <c r="AK282">
        <v>11</v>
      </c>
      <c r="AL282" t="s">
        <v>115</v>
      </c>
      <c r="AM282" t="s">
        <v>116</v>
      </c>
      <c r="AN282" t="s">
        <v>117</v>
      </c>
      <c r="AO282" t="s">
        <v>4406</v>
      </c>
      <c r="AP282" t="s">
        <v>4423</v>
      </c>
      <c r="AQ282" t="s">
        <v>74</v>
      </c>
      <c r="AR282" t="s">
        <v>4407</v>
      </c>
      <c r="AS282" t="s">
        <v>4408</v>
      </c>
      <c r="AT282" t="s">
        <v>74</v>
      </c>
      <c r="AU282">
        <v>2007</v>
      </c>
      <c r="AV282">
        <v>338</v>
      </c>
      <c r="AW282" t="s">
        <v>74</v>
      </c>
      <c r="AX282" t="s">
        <v>74</v>
      </c>
      <c r="AY282" t="s">
        <v>74</v>
      </c>
      <c r="AZ282" t="s">
        <v>74</v>
      </c>
      <c r="BA282" t="s">
        <v>74</v>
      </c>
      <c r="BB282">
        <v>119</v>
      </c>
      <c r="BC282">
        <v>129</v>
      </c>
      <c r="BD282" t="s">
        <v>74</v>
      </c>
      <c r="BE282" t="s">
        <v>4645</v>
      </c>
      <c r="BF282" t="str">
        <f>HYPERLINK("http://dx.doi.org/10.3354/meps338119","http://dx.doi.org/10.3354/meps338119")</f>
        <v>http://dx.doi.org/10.3354/meps338119</v>
      </c>
      <c r="BG282" t="s">
        <v>74</v>
      </c>
      <c r="BH282" t="s">
        <v>74</v>
      </c>
      <c r="BI282">
        <v>11</v>
      </c>
      <c r="BJ282" t="s">
        <v>4410</v>
      </c>
      <c r="BK282" t="s">
        <v>97</v>
      </c>
      <c r="BL282" t="s">
        <v>4411</v>
      </c>
      <c r="BM282" t="s">
        <v>4646</v>
      </c>
      <c r="BN282" t="s">
        <v>74</v>
      </c>
      <c r="BO282" t="s">
        <v>3809</v>
      </c>
      <c r="BP282" t="s">
        <v>74</v>
      </c>
      <c r="BQ282" t="s">
        <v>74</v>
      </c>
      <c r="BR282" t="s">
        <v>100</v>
      </c>
      <c r="BS282" t="s">
        <v>4647</v>
      </c>
      <c r="BT282" t="str">
        <f>HYPERLINK("https%3A%2F%2Fwww.webofscience.com%2Fwos%2Fwoscc%2Ffull-record%2FWOS:000247480200011","View Full Record in Web of Science")</f>
        <v>View Full Record in Web of Science</v>
      </c>
    </row>
    <row r="283" spans="1:72" x14ac:dyDescent="0.15">
      <c r="A283" t="s">
        <v>72</v>
      </c>
      <c r="B283" t="s">
        <v>4648</v>
      </c>
      <c r="C283" t="s">
        <v>74</v>
      </c>
      <c r="D283" t="s">
        <v>74</v>
      </c>
      <c r="E283" t="s">
        <v>74</v>
      </c>
      <c r="F283" t="s">
        <v>4649</v>
      </c>
      <c r="G283" t="s">
        <v>74</v>
      </c>
      <c r="H283" t="s">
        <v>74</v>
      </c>
      <c r="I283" t="s">
        <v>4650</v>
      </c>
      <c r="J283" t="s">
        <v>4399</v>
      </c>
      <c r="K283" t="s">
        <v>74</v>
      </c>
      <c r="L283" t="s">
        <v>74</v>
      </c>
      <c r="M283" t="s">
        <v>78</v>
      </c>
      <c r="N283" t="s">
        <v>79</v>
      </c>
      <c r="O283" t="s">
        <v>74</v>
      </c>
      <c r="P283" t="s">
        <v>74</v>
      </c>
      <c r="Q283" t="s">
        <v>74</v>
      </c>
      <c r="R283" t="s">
        <v>74</v>
      </c>
      <c r="S283" t="s">
        <v>74</v>
      </c>
      <c r="T283" t="s">
        <v>4651</v>
      </c>
      <c r="U283" t="s">
        <v>4652</v>
      </c>
      <c r="V283" t="s">
        <v>4653</v>
      </c>
      <c r="W283" t="s">
        <v>4654</v>
      </c>
      <c r="X283" t="s">
        <v>514</v>
      </c>
      <c r="Y283" t="s">
        <v>4655</v>
      </c>
      <c r="Z283" t="s">
        <v>4656</v>
      </c>
      <c r="AA283" t="s">
        <v>74</v>
      </c>
      <c r="AB283" t="s">
        <v>74</v>
      </c>
      <c r="AC283" t="s">
        <v>4484</v>
      </c>
      <c r="AD283" t="s">
        <v>1254</v>
      </c>
      <c r="AE283" t="s">
        <v>74</v>
      </c>
      <c r="AF283" t="s">
        <v>74</v>
      </c>
      <c r="AG283">
        <v>51</v>
      </c>
      <c r="AH283">
        <v>4</v>
      </c>
      <c r="AI283">
        <v>4</v>
      </c>
      <c r="AJ283">
        <v>0</v>
      </c>
      <c r="AK283">
        <v>8</v>
      </c>
      <c r="AL283" t="s">
        <v>115</v>
      </c>
      <c r="AM283" t="s">
        <v>116</v>
      </c>
      <c r="AN283" t="s">
        <v>117</v>
      </c>
      <c r="AO283" t="s">
        <v>4406</v>
      </c>
      <c r="AP283" t="s">
        <v>4423</v>
      </c>
      <c r="AQ283" t="s">
        <v>74</v>
      </c>
      <c r="AR283" t="s">
        <v>4407</v>
      </c>
      <c r="AS283" t="s">
        <v>4408</v>
      </c>
      <c r="AT283" t="s">
        <v>74</v>
      </c>
      <c r="AU283">
        <v>2007</v>
      </c>
      <c r="AV283">
        <v>338</v>
      </c>
      <c r="AW283" t="s">
        <v>74</v>
      </c>
      <c r="AX283" t="s">
        <v>74</v>
      </c>
      <c r="AY283" t="s">
        <v>74</v>
      </c>
      <c r="AZ283" t="s">
        <v>74</v>
      </c>
      <c r="BA283" t="s">
        <v>74</v>
      </c>
      <c r="BB283">
        <v>145</v>
      </c>
      <c r="BC283">
        <v>158</v>
      </c>
      <c r="BD283" t="s">
        <v>74</v>
      </c>
      <c r="BE283" t="s">
        <v>4657</v>
      </c>
      <c r="BF283" t="str">
        <f>HYPERLINK("http://dx.doi.org/10.3354/meps338145","http://dx.doi.org/10.3354/meps338145")</f>
        <v>http://dx.doi.org/10.3354/meps338145</v>
      </c>
      <c r="BG283" t="s">
        <v>74</v>
      </c>
      <c r="BH283" t="s">
        <v>74</v>
      </c>
      <c r="BI283">
        <v>14</v>
      </c>
      <c r="BJ283" t="s">
        <v>4410</v>
      </c>
      <c r="BK283" t="s">
        <v>97</v>
      </c>
      <c r="BL283" t="s">
        <v>4411</v>
      </c>
      <c r="BM283" t="s">
        <v>4646</v>
      </c>
      <c r="BN283" t="s">
        <v>74</v>
      </c>
      <c r="BO283" t="s">
        <v>4658</v>
      </c>
      <c r="BP283" t="s">
        <v>74</v>
      </c>
      <c r="BQ283" t="s">
        <v>74</v>
      </c>
      <c r="BR283" t="s">
        <v>100</v>
      </c>
      <c r="BS283" t="s">
        <v>4659</v>
      </c>
      <c r="BT283" t="str">
        <f>HYPERLINK("https%3A%2F%2Fwww.webofscience.com%2Fwos%2Fwoscc%2Ffull-record%2FWOS:000247480200013","View Full Record in Web of Science")</f>
        <v>View Full Record in Web of Science</v>
      </c>
    </row>
    <row r="284" spans="1:72" x14ac:dyDescent="0.15">
      <c r="A284" t="s">
        <v>72</v>
      </c>
      <c r="B284" t="s">
        <v>4660</v>
      </c>
      <c r="C284" t="s">
        <v>74</v>
      </c>
      <c r="D284" t="s">
        <v>74</v>
      </c>
      <c r="E284" t="s">
        <v>74</v>
      </c>
      <c r="F284" t="s">
        <v>4661</v>
      </c>
      <c r="G284" t="s">
        <v>74</v>
      </c>
      <c r="H284" t="s">
        <v>74</v>
      </c>
      <c r="I284" t="s">
        <v>4662</v>
      </c>
      <c r="J284" t="s">
        <v>4399</v>
      </c>
      <c r="K284" t="s">
        <v>74</v>
      </c>
      <c r="L284" t="s">
        <v>74</v>
      </c>
      <c r="M284" t="s">
        <v>78</v>
      </c>
      <c r="N284" t="s">
        <v>79</v>
      </c>
      <c r="O284" t="s">
        <v>74</v>
      </c>
      <c r="P284" t="s">
        <v>74</v>
      </c>
      <c r="Q284" t="s">
        <v>74</v>
      </c>
      <c r="R284" t="s">
        <v>74</v>
      </c>
      <c r="S284" t="s">
        <v>74</v>
      </c>
      <c r="T284" t="s">
        <v>4663</v>
      </c>
      <c r="U284" t="s">
        <v>4664</v>
      </c>
      <c r="V284" t="s">
        <v>4665</v>
      </c>
      <c r="W284" t="s">
        <v>4666</v>
      </c>
      <c r="X284" t="s">
        <v>4667</v>
      </c>
      <c r="Y284" t="s">
        <v>4668</v>
      </c>
      <c r="Z284" t="s">
        <v>4669</v>
      </c>
      <c r="AA284" t="s">
        <v>4670</v>
      </c>
      <c r="AB284" t="s">
        <v>4671</v>
      </c>
      <c r="AC284" t="s">
        <v>4672</v>
      </c>
      <c r="AD284" t="s">
        <v>1647</v>
      </c>
      <c r="AE284" t="s">
        <v>74</v>
      </c>
      <c r="AF284" t="s">
        <v>74</v>
      </c>
      <c r="AG284">
        <v>41</v>
      </c>
      <c r="AH284">
        <v>119</v>
      </c>
      <c r="AI284">
        <v>137</v>
      </c>
      <c r="AJ284">
        <v>0</v>
      </c>
      <c r="AK284">
        <v>77</v>
      </c>
      <c r="AL284" t="s">
        <v>115</v>
      </c>
      <c r="AM284" t="s">
        <v>116</v>
      </c>
      <c r="AN284" t="s">
        <v>117</v>
      </c>
      <c r="AO284" t="s">
        <v>4406</v>
      </c>
      <c r="AP284" t="s">
        <v>4423</v>
      </c>
      <c r="AQ284" t="s">
        <v>74</v>
      </c>
      <c r="AR284" t="s">
        <v>4407</v>
      </c>
      <c r="AS284" t="s">
        <v>4408</v>
      </c>
      <c r="AT284" t="s">
        <v>74</v>
      </c>
      <c r="AU284">
        <v>2007</v>
      </c>
      <c r="AV284">
        <v>338</v>
      </c>
      <c r="AW284" t="s">
        <v>74</v>
      </c>
      <c r="AX284" t="s">
        <v>74</v>
      </c>
      <c r="AY284" t="s">
        <v>74</v>
      </c>
      <c r="AZ284" t="s">
        <v>74</v>
      </c>
      <c r="BA284" t="s">
        <v>74</v>
      </c>
      <c r="BB284">
        <v>295</v>
      </c>
      <c r="BC284">
        <v>305</v>
      </c>
      <c r="BD284" t="s">
        <v>74</v>
      </c>
      <c r="BE284" t="s">
        <v>4673</v>
      </c>
      <c r="BF284" t="str">
        <f>HYPERLINK("http://dx.doi.org/10.3354/meps338295","http://dx.doi.org/10.3354/meps338295")</f>
        <v>http://dx.doi.org/10.3354/meps338295</v>
      </c>
      <c r="BG284" t="s">
        <v>74</v>
      </c>
      <c r="BH284" t="s">
        <v>74</v>
      </c>
      <c r="BI284">
        <v>11</v>
      </c>
      <c r="BJ284" t="s">
        <v>4410</v>
      </c>
      <c r="BK284" t="s">
        <v>97</v>
      </c>
      <c r="BL284" t="s">
        <v>4411</v>
      </c>
      <c r="BM284" t="s">
        <v>4646</v>
      </c>
      <c r="BN284" t="s">
        <v>74</v>
      </c>
      <c r="BO284" t="s">
        <v>124</v>
      </c>
      <c r="BP284" t="s">
        <v>74</v>
      </c>
      <c r="BQ284" t="s">
        <v>74</v>
      </c>
      <c r="BR284" t="s">
        <v>100</v>
      </c>
      <c r="BS284" t="s">
        <v>4674</v>
      </c>
      <c r="BT284" t="str">
        <f>HYPERLINK("https%3A%2F%2Fwww.webofscience.com%2Fwos%2Fwoscc%2Ffull-record%2FWOS:000247480200026","View Full Record in Web of Science")</f>
        <v>View Full Record in Web of Science</v>
      </c>
    </row>
    <row r="285" spans="1:72" x14ac:dyDescent="0.15">
      <c r="A285" t="s">
        <v>72</v>
      </c>
      <c r="B285" t="s">
        <v>4675</v>
      </c>
      <c r="C285" t="s">
        <v>74</v>
      </c>
      <c r="D285" t="s">
        <v>74</v>
      </c>
      <c r="E285" t="s">
        <v>74</v>
      </c>
      <c r="F285" t="s">
        <v>4676</v>
      </c>
      <c r="G285" t="s">
        <v>74</v>
      </c>
      <c r="H285" t="s">
        <v>74</v>
      </c>
      <c r="I285" t="s">
        <v>4677</v>
      </c>
      <c r="J285" t="s">
        <v>4399</v>
      </c>
      <c r="K285" t="s">
        <v>74</v>
      </c>
      <c r="L285" t="s">
        <v>74</v>
      </c>
      <c r="M285" t="s">
        <v>78</v>
      </c>
      <c r="N285" t="s">
        <v>79</v>
      </c>
      <c r="O285" t="s">
        <v>74</v>
      </c>
      <c r="P285" t="s">
        <v>74</v>
      </c>
      <c r="Q285" t="s">
        <v>74</v>
      </c>
      <c r="R285" t="s">
        <v>74</v>
      </c>
      <c r="S285" t="s">
        <v>74</v>
      </c>
      <c r="T285" t="s">
        <v>4678</v>
      </c>
      <c r="U285" t="s">
        <v>4679</v>
      </c>
      <c r="V285" t="s">
        <v>4680</v>
      </c>
      <c r="W285" t="s">
        <v>4681</v>
      </c>
      <c r="X285" t="s">
        <v>4682</v>
      </c>
      <c r="Y285" t="s">
        <v>4683</v>
      </c>
      <c r="Z285" t="s">
        <v>4684</v>
      </c>
      <c r="AA285" t="s">
        <v>4685</v>
      </c>
      <c r="AB285" t="s">
        <v>4686</v>
      </c>
      <c r="AC285" t="s">
        <v>74</v>
      </c>
      <c r="AD285" t="s">
        <v>74</v>
      </c>
      <c r="AE285" t="s">
        <v>74</v>
      </c>
      <c r="AF285" t="s">
        <v>74</v>
      </c>
      <c r="AG285">
        <v>44</v>
      </c>
      <c r="AH285">
        <v>19</v>
      </c>
      <c r="AI285">
        <v>22</v>
      </c>
      <c r="AJ285">
        <v>3</v>
      </c>
      <c r="AK285">
        <v>23</v>
      </c>
      <c r="AL285" t="s">
        <v>115</v>
      </c>
      <c r="AM285" t="s">
        <v>116</v>
      </c>
      <c r="AN285" t="s">
        <v>117</v>
      </c>
      <c r="AO285" t="s">
        <v>4406</v>
      </c>
      <c r="AP285" t="s">
        <v>4423</v>
      </c>
      <c r="AQ285" t="s">
        <v>74</v>
      </c>
      <c r="AR285" t="s">
        <v>4407</v>
      </c>
      <c r="AS285" t="s">
        <v>4408</v>
      </c>
      <c r="AT285" t="s">
        <v>74</v>
      </c>
      <c r="AU285">
        <v>2007</v>
      </c>
      <c r="AV285">
        <v>337</v>
      </c>
      <c r="AW285" t="s">
        <v>74</v>
      </c>
      <c r="AX285" t="s">
        <v>74</v>
      </c>
      <c r="AY285" t="s">
        <v>74</v>
      </c>
      <c r="AZ285" t="s">
        <v>74</v>
      </c>
      <c r="BA285" t="s">
        <v>74</v>
      </c>
      <c r="BB285">
        <v>265</v>
      </c>
      <c r="BC285">
        <v>277</v>
      </c>
      <c r="BD285" t="s">
        <v>74</v>
      </c>
      <c r="BE285" t="s">
        <v>4687</v>
      </c>
      <c r="BF285" t="str">
        <f>HYPERLINK("http://dx.doi.org/10.3354/meps337265","http://dx.doi.org/10.3354/meps337265")</f>
        <v>http://dx.doi.org/10.3354/meps337265</v>
      </c>
      <c r="BG285" t="s">
        <v>74</v>
      </c>
      <c r="BH285" t="s">
        <v>74</v>
      </c>
      <c r="BI285">
        <v>13</v>
      </c>
      <c r="BJ285" t="s">
        <v>4410</v>
      </c>
      <c r="BK285" t="s">
        <v>97</v>
      </c>
      <c r="BL285" t="s">
        <v>4411</v>
      </c>
      <c r="BM285" t="s">
        <v>4688</v>
      </c>
      <c r="BN285" t="s">
        <v>74</v>
      </c>
      <c r="BO285" t="s">
        <v>3708</v>
      </c>
      <c r="BP285" t="s">
        <v>74</v>
      </c>
      <c r="BQ285" t="s">
        <v>74</v>
      </c>
      <c r="BR285" t="s">
        <v>100</v>
      </c>
      <c r="BS285" t="s">
        <v>4689</v>
      </c>
      <c r="BT285" t="str">
        <f>HYPERLINK("https%3A%2F%2Fwww.webofscience.com%2Fwos%2Fwoscc%2Ffull-record%2FWOS:000247105100023","View Full Record in Web of Science")</f>
        <v>View Full Record in Web of Science</v>
      </c>
    </row>
    <row r="286" spans="1:72" x14ac:dyDescent="0.15">
      <c r="A286" t="s">
        <v>72</v>
      </c>
      <c r="B286" t="s">
        <v>4690</v>
      </c>
      <c r="C286" t="s">
        <v>74</v>
      </c>
      <c r="D286" t="s">
        <v>74</v>
      </c>
      <c r="E286" t="s">
        <v>74</v>
      </c>
      <c r="F286" t="s">
        <v>4691</v>
      </c>
      <c r="G286" t="s">
        <v>74</v>
      </c>
      <c r="H286" t="s">
        <v>74</v>
      </c>
      <c r="I286" t="s">
        <v>4692</v>
      </c>
      <c r="J286" t="s">
        <v>4399</v>
      </c>
      <c r="K286" t="s">
        <v>74</v>
      </c>
      <c r="L286" t="s">
        <v>74</v>
      </c>
      <c r="M286" t="s">
        <v>78</v>
      </c>
      <c r="N286" t="s">
        <v>79</v>
      </c>
      <c r="O286" t="s">
        <v>74</v>
      </c>
      <c r="P286" t="s">
        <v>74</v>
      </c>
      <c r="Q286" t="s">
        <v>74</v>
      </c>
      <c r="R286" t="s">
        <v>74</v>
      </c>
      <c r="S286" t="s">
        <v>74</v>
      </c>
      <c r="T286" t="s">
        <v>4693</v>
      </c>
      <c r="U286" t="s">
        <v>4694</v>
      </c>
      <c r="V286" t="s">
        <v>4695</v>
      </c>
      <c r="W286" t="s">
        <v>4696</v>
      </c>
      <c r="X286" t="s">
        <v>4697</v>
      </c>
      <c r="Y286" t="s">
        <v>4698</v>
      </c>
      <c r="Z286" t="s">
        <v>4699</v>
      </c>
      <c r="AA286" t="s">
        <v>4700</v>
      </c>
      <c r="AB286" t="s">
        <v>4701</v>
      </c>
      <c r="AC286" t="s">
        <v>4484</v>
      </c>
      <c r="AD286" t="s">
        <v>1254</v>
      </c>
      <c r="AE286" t="s">
        <v>74</v>
      </c>
      <c r="AF286" t="s">
        <v>74</v>
      </c>
      <c r="AG286">
        <v>44</v>
      </c>
      <c r="AH286">
        <v>32</v>
      </c>
      <c r="AI286">
        <v>34</v>
      </c>
      <c r="AJ286">
        <v>0</v>
      </c>
      <c r="AK286">
        <v>20</v>
      </c>
      <c r="AL286" t="s">
        <v>115</v>
      </c>
      <c r="AM286" t="s">
        <v>116</v>
      </c>
      <c r="AN286" t="s">
        <v>117</v>
      </c>
      <c r="AO286" t="s">
        <v>4406</v>
      </c>
      <c r="AP286" t="s">
        <v>74</v>
      </c>
      <c r="AQ286" t="s">
        <v>74</v>
      </c>
      <c r="AR286" t="s">
        <v>4407</v>
      </c>
      <c r="AS286" t="s">
        <v>4408</v>
      </c>
      <c r="AT286" t="s">
        <v>74</v>
      </c>
      <c r="AU286">
        <v>2007</v>
      </c>
      <c r="AV286">
        <v>336</v>
      </c>
      <c r="AW286" t="s">
        <v>74</v>
      </c>
      <c r="AX286" t="s">
        <v>74</v>
      </c>
      <c r="AY286" t="s">
        <v>74</v>
      </c>
      <c r="AZ286" t="s">
        <v>74</v>
      </c>
      <c r="BA286" t="s">
        <v>74</v>
      </c>
      <c r="BB286">
        <v>187</v>
      </c>
      <c r="BC286">
        <v>202</v>
      </c>
      <c r="BD286" t="s">
        <v>74</v>
      </c>
      <c r="BE286" t="s">
        <v>4702</v>
      </c>
      <c r="BF286" t="str">
        <f>HYPERLINK("http://dx.doi.org/10.3354/meps336187","http://dx.doi.org/10.3354/meps336187")</f>
        <v>http://dx.doi.org/10.3354/meps336187</v>
      </c>
      <c r="BG286" t="s">
        <v>74</v>
      </c>
      <c r="BH286" t="s">
        <v>74</v>
      </c>
      <c r="BI286">
        <v>16</v>
      </c>
      <c r="BJ286" t="s">
        <v>4410</v>
      </c>
      <c r="BK286" t="s">
        <v>97</v>
      </c>
      <c r="BL286" t="s">
        <v>4411</v>
      </c>
      <c r="BM286" t="s">
        <v>4703</v>
      </c>
      <c r="BN286" t="s">
        <v>74</v>
      </c>
      <c r="BO286" t="s">
        <v>4658</v>
      </c>
      <c r="BP286" t="s">
        <v>74</v>
      </c>
      <c r="BQ286" t="s">
        <v>74</v>
      </c>
      <c r="BR286" t="s">
        <v>100</v>
      </c>
      <c r="BS286" t="s">
        <v>4704</v>
      </c>
      <c r="BT286" t="str">
        <f>HYPERLINK("https%3A%2F%2Fwww.webofscience.com%2Fwos%2Fwoscc%2Ffull-record%2FWOS:000246980400017","View Full Record in Web of Science")</f>
        <v>View Full Record in Web of Science</v>
      </c>
    </row>
    <row r="287" spans="1:72" x14ac:dyDescent="0.15">
      <c r="A287" t="s">
        <v>72</v>
      </c>
      <c r="B287" t="s">
        <v>4705</v>
      </c>
      <c r="C287" t="s">
        <v>74</v>
      </c>
      <c r="D287" t="s">
        <v>74</v>
      </c>
      <c r="E287" t="s">
        <v>74</v>
      </c>
      <c r="F287" t="s">
        <v>4706</v>
      </c>
      <c r="G287" t="s">
        <v>74</v>
      </c>
      <c r="H287" t="s">
        <v>74</v>
      </c>
      <c r="I287" t="s">
        <v>4707</v>
      </c>
      <c r="J287" t="s">
        <v>4399</v>
      </c>
      <c r="K287" t="s">
        <v>74</v>
      </c>
      <c r="L287" t="s">
        <v>74</v>
      </c>
      <c r="M287" t="s">
        <v>78</v>
      </c>
      <c r="N287" t="s">
        <v>79</v>
      </c>
      <c r="O287" t="s">
        <v>74</v>
      </c>
      <c r="P287" t="s">
        <v>74</v>
      </c>
      <c r="Q287" t="s">
        <v>74</v>
      </c>
      <c r="R287" t="s">
        <v>74</v>
      </c>
      <c r="S287" t="s">
        <v>74</v>
      </c>
      <c r="T287" t="s">
        <v>4708</v>
      </c>
      <c r="U287" t="s">
        <v>4709</v>
      </c>
      <c r="V287" t="s">
        <v>4710</v>
      </c>
      <c r="W287" t="s">
        <v>4711</v>
      </c>
      <c r="X287" t="s">
        <v>4712</v>
      </c>
      <c r="Y287" t="s">
        <v>4713</v>
      </c>
      <c r="Z287" t="s">
        <v>4714</v>
      </c>
      <c r="AA287" t="s">
        <v>4715</v>
      </c>
      <c r="AB287" t="s">
        <v>4716</v>
      </c>
      <c r="AC287" t="s">
        <v>74</v>
      </c>
      <c r="AD287" t="s">
        <v>74</v>
      </c>
      <c r="AE287" t="s">
        <v>74</v>
      </c>
      <c r="AF287" t="s">
        <v>74</v>
      </c>
      <c r="AG287">
        <v>43</v>
      </c>
      <c r="AH287">
        <v>19</v>
      </c>
      <c r="AI287">
        <v>19</v>
      </c>
      <c r="AJ287">
        <v>0</v>
      </c>
      <c r="AK287">
        <v>15</v>
      </c>
      <c r="AL287" t="s">
        <v>115</v>
      </c>
      <c r="AM287" t="s">
        <v>116</v>
      </c>
      <c r="AN287" t="s">
        <v>117</v>
      </c>
      <c r="AO287" t="s">
        <v>4406</v>
      </c>
      <c r="AP287" t="s">
        <v>4423</v>
      </c>
      <c r="AQ287" t="s">
        <v>74</v>
      </c>
      <c r="AR287" t="s">
        <v>4407</v>
      </c>
      <c r="AS287" t="s">
        <v>4408</v>
      </c>
      <c r="AT287" t="s">
        <v>74</v>
      </c>
      <c r="AU287">
        <v>2007</v>
      </c>
      <c r="AV287">
        <v>334</v>
      </c>
      <c r="AW287" t="s">
        <v>74</v>
      </c>
      <c r="AX287" t="s">
        <v>74</v>
      </c>
      <c r="AY287" t="s">
        <v>74</v>
      </c>
      <c r="AZ287" t="s">
        <v>74</v>
      </c>
      <c r="BA287" t="s">
        <v>74</v>
      </c>
      <c r="BB287">
        <v>287</v>
      </c>
      <c r="BC287">
        <v>297</v>
      </c>
      <c r="BD287" t="s">
        <v>74</v>
      </c>
      <c r="BE287" t="s">
        <v>4717</v>
      </c>
      <c r="BF287" t="str">
        <f>HYPERLINK("http://dx.doi.org/10.3354/meps334287","http://dx.doi.org/10.3354/meps334287")</f>
        <v>http://dx.doi.org/10.3354/meps334287</v>
      </c>
      <c r="BG287" t="s">
        <v>74</v>
      </c>
      <c r="BH287" t="s">
        <v>74</v>
      </c>
      <c r="BI287">
        <v>11</v>
      </c>
      <c r="BJ287" t="s">
        <v>4410</v>
      </c>
      <c r="BK287" t="s">
        <v>97</v>
      </c>
      <c r="BL287" t="s">
        <v>4411</v>
      </c>
      <c r="BM287" t="s">
        <v>4718</v>
      </c>
      <c r="BN287" t="s">
        <v>74</v>
      </c>
      <c r="BO287" t="s">
        <v>3708</v>
      </c>
      <c r="BP287" t="s">
        <v>74</v>
      </c>
      <c r="BQ287" t="s">
        <v>74</v>
      </c>
      <c r="BR287" t="s">
        <v>100</v>
      </c>
      <c r="BS287" t="s">
        <v>4719</v>
      </c>
      <c r="BT287" t="str">
        <f>HYPERLINK("https%3A%2F%2Fwww.webofscience.com%2Fwos%2Fwoscc%2Ffull-record%2FWOS:000245862000027","View Full Record in Web of Science")</f>
        <v>View Full Record in Web of Science</v>
      </c>
    </row>
    <row r="288" spans="1:72" x14ac:dyDescent="0.15">
      <c r="A288" t="s">
        <v>72</v>
      </c>
      <c r="B288" t="s">
        <v>4720</v>
      </c>
      <c r="C288" t="s">
        <v>74</v>
      </c>
      <c r="D288" t="s">
        <v>74</v>
      </c>
      <c r="E288" t="s">
        <v>74</v>
      </c>
      <c r="F288" t="s">
        <v>4721</v>
      </c>
      <c r="G288" t="s">
        <v>74</v>
      </c>
      <c r="H288" t="s">
        <v>74</v>
      </c>
      <c r="I288" t="s">
        <v>4722</v>
      </c>
      <c r="J288" t="s">
        <v>4399</v>
      </c>
      <c r="K288" t="s">
        <v>74</v>
      </c>
      <c r="L288" t="s">
        <v>74</v>
      </c>
      <c r="M288" t="s">
        <v>78</v>
      </c>
      <c r="N288" t="s">
        <v>79</v>
      </c>
      <c r="O288" t="s">
        <v>74</v>
      </c>
      <c r="P288" t="s">
        <v>74</v>
      </c>
      <c r="Q288" t="s">
        <v>74</v>
      </c>
      <c r="R288" t="s">
        <v>74</v>
      </c>
      <c r="S288" t="s">
        <v>74</v>
      </c>
      <c r="T288" t="s">
        <v>4723</v>
      </c>
      <c r="U288" t="s">
        <v>4724</v>
      </c>
      <c r="V288" t="s">
        <v>4725</v>
      </c>
      <c r="W288" t="s">
        <v>4726</v>
      </c>
      <c r="X288" t="s">
        <v>4727</v>
      </c>
      <c r="Y288" t="s">
        <v>4728</v>
      </c>
      <c r="Z288" t="s">
        <v>4729</v>
      </c>
      <c r="AA288" t="s">
        <v>4730</v>
      </c>
      <c r="AB288" t="s">
        <v>4731</v>
      </c>
      <c r="AC288" t="s">
        <v>74</v>
      </c>
      <c r="AD288" t="s">
        <v>74</v>
      </c>
      <c r="AE288" t="s">
        <v>74</v>
      </c>
      <c r="AF288" t="s">
        <v>74</v>
      </c>
      <c r="AG288">
        <v>61</v>
      </c>
      <c r="AH288">
        <v>56</v>
      </c>
      <c r="AI288">
        <v>58</v>
      </c>
      <c r="AJ288">
        <v>1</v>
      </c>
      <c r="AK288">
        <v>11</v>
      </c>
      <c r="AL288" t="s">
        <v>115</v>
      </c>
      <c r="AM288" t="s">
        <v>116</v>
      </c>
      <c r="AN288" t="s">
        <v>117</v>
      </c>
      <c r="AO288" t="s">
        <v>4406</v>
      </c>
      <c r="AP288" t="s">
        <v>74</v>
      </c>
      <c r="AQ288" t="s">
        <v>74</v>
      </c>
      <c r="AR288" t="s">
        <v>4407</v>
      </c>
      <c r="AS288" t="s">
        <v>4408</v>
      </c>
      <c r="AT288" t="s">
        <v>74</v>
      </c>
      <c r="AU288">
        <v>2007</v>
      </c>
      <c r="AV288">
        <v>332</v>
      </c>
      <c r="AW288" t="s">
        <v>74</v>
      </c>
      <c r="AX288" t="s">
        <v>74</v>
      </c>
      <c r="AY288" t="s">
        <v>74</v>
      </c>
      <c r="AZ288" t="s">
        <v>74</v>
      </c>
      <c r="BA288" t="s">
        <v>74</v>
      </c>
      <c r="BB288">
        <v>93</v>
      </c>
      <c r="BC288">
        <v>106</v>
      </c>
      <c r="BD288" t="s">
        <v>74</v>
      </c>
      <c r="BE288" t="s">
        <v>4732</v>
      </c>
      <c r="BF288" t="str">
        <f>HYPERLINK("http://dx.doi.org/10.3354/meps332093","http://dx.doi.org/10.3354/meps332093")</f>
        <v>http://dx.doi.org/10.3354/meps332093</v>
      </c>
      <c r="BG288" t="s">
        <v>74</v>
      </c>
      <c r="BH288" t="s">
        <v>74</v>
      </c>
      <c r="BI288">
        <v>14</v>
      </c>
      <c r="BJ288" t="s">
        <v>4410</v>
      </c>
      <c r="BK288" t="s">
        <v>97</v>
      </c>
      <c r="BL288" t="s">
        <v>4411</v>
      </c>
      <c r="BM288" t="s">
        <v>4733</v>
      </c>
      <c r="BN288" t="s">
        <v>74</v>
      </c>
      <c r="BO288" t="s">
        <v>4734</v>
      </c>
      <c r="BP288" t="s">
        <v>74</v>
      </c>
      <c r="BQ288" t="s">
        <v>74</v>
      </c>
      <c r="BR288" t="s">
        <v>100</v>
      </c>
      <c r="BS288" t="s">
        <v>4735</v>
      </c>
      <c r="BT288" t="str">
        <f>HYPERLINK("https%3A%2F%2Fwww.webofscience.com%2Fwos%2Fwoscc%2Ffull-record%2FWOS:000245542400008","View Full Record in Web of Science")</f>
        <v>View Full Record in Web of Science</v>
      </c>
    </row>
    <row r="289" spans="1:72" x14ac:dyDescent="0.15">
      <c r="A289" t="s">
        <v>72</v>
      </c>
      <c r="B289" t="s">
        <v>4736</v>
      </c>
      <c r="C289" t="s">
        <v>74</v>
      </c>
      <c r="D289" t="s">
        <v>74</v>
      </c>
      <c r="E289" t="s">
        <v>74</v>
      </c>
      <c r="F289" t="s">
        <v>4737</v>
      </c>
      <c r="G289" t="s">
        <v>74</v>
      </c>
      <c r="H289" t="s">
        <v>74</v>
      </c>
      <c r="I289" t="s">
        <v>4738</v>
      </c>
      <c r="J289" t="s">
        <v>4399</v>
      </c>
      <c r="K289" t="s">
        <v>74</v>
      </c>
      <c r="L289" t="s">
        <v>74</v>
      </c>
      <c r="M289" t="s">
        <v>78</v>
      </c>
      <c r="N289" t="s">
        <v>79</v>
      </c>
      <c r="O289" t="s">
        <v>74</v>
      </c>
      <c r="P289" t="s">
        <v>74</v>
      </c>
      <c r="Q289" t="s">
        <v>74</v>
      </c>
      <c r="R289" t="s">
        <v>74</v>
      </c>
      <c r="S289" t="s">
        <v>74</v>
      </c>
      <c r="T289" t="s">
        <v>4739</v>
      </c>
      <c r="U289" t="s">
        <v>4740</v>
      </c>
      <c r="V289" t="s">
        <v>4741</v>
      </c>
      <c r="W289" t="s">
        <v>4742</v>
      </c>
      <c r="X289" t="s">
        <v>4743</v>
      </c>
      <c r="Y289" t="s">
        <v>4744</v>
      </c>
      <c r="Z289" t="s">
        <v>4745</v>
      </c>
      <c r="AA289" t="s">
        <v>4746</v>
      </c>
      <c r="AB289" t="s">
        <v>4747</v>
      </c>
      <c r="AC289" t="s">
        <v>74</v>
      </c>
      <c r="AD289" t="s">
        <v>74</v>
      </c>
      <c r="AE289" t="s">
        <v>74</v>
      </c>
      <c r="AF289" t="s">
        <v>74</v>
      </c>
      <c r="AG289">
        <v>45</v>
      </c>
      <c r="AH289">
        <v>14</v>
      </c>
      <c r="AI289">
        <v>18</v>
      </c>
      <c r="AJ289">
        <v>1</v>
      </c>
      <c r="AK289">
        <v>23</v>
      </c>
      <c r="AL289" t="s">
        <v>115</v>
      </c>
      <c r="AM289" t="s">
        <v>116</v>
      </c>
      <c r="AN289" t="s">
        <v>117</v>
      </c>
      <c r="AO289" t="s">
        <v>4406</v>
      </c>
      <c r="AP289" t="s">
        <v>4423</v>
      </c>
      <c r="AQ289" t="s">
        <v>74</v>
      </c>
      <c r="AR289" t="s">
        <v>4407</v>
      </c>
      <c r="AS289" t="s">
        <v>4408</v>
      </c>
      <c r="AT289" t="s">
        <v>74</v>
      </c>
      <c r="AU289">
        <v>2007</v>
      </c>
      <c r="AV289">
        <v>332</v>
      </c>
      <c r="AW289" t="s">
        <v>74</v>
      </c>
      <c r="AX289" t="s">
        <v>74</v>
      </c>
      <c r="AY289" t="s">
        <v>74</v>
      </c>
      <c r="AZ289" t="s">
        <v>74</v>
      </c>
      <c r="BA289" t="s">
        <v>74</v>
      </c>
      <c r="BB289">
        <v>143</v>
      </c>
      <c r="BC289">
        <v>153</v>
      </c>
      <c r="BD289" t="s">
        <v>74</v>
      </c>
      <c r="BE289" t="s">
        <v>4748</v>
      </c>
      <c r="BF289" t="str">
        <f>HYPERLINK("http://dx.doi.org/10.3354/meps332143","http://dx.doi.org/10.3354/meps332143")</f>
        <v>http://dx.doi.org/10.3354/meps332143</v>
      </c>
      <c r="BG289" t="s">
        <v>74</v>
      </c>
      <c r="BH289" t="s">
        <v>74</v>
      </c>
      <c r="BI289">
        <v>11</v>
      </c>
      <c r="BJ289" t="s">
        <v>4410</v>
      </c>
      <c r="BK289" t="s">
        <v>97</v>
      </c>
      <c r="BL289" t="s">
        <v>4411</v>
      </c>
      <c r="BM289" t="s">
        <v>4733</v>
      </c>
      <c r="BN289" t="s">
        <v>74</v>
      </c>
      <c r="BO289" t="s">
        <v>124</v>
      </c>
      <c r="BP289" t="s">
        <v>74</v>
      </c>
      <c r="BQ289" t="s">
        <v>74</v>
      </c>
      <c r="BR289" t="s">
        <v>100</v>
      </c>
      <c r="BS289" t="s">
        <v>4749</v>
      </c>
      <c r="BT289" t="str">
        <f>HYPERLINK("https%3A%2F%2Fwww.webofscience.com%2Fwos%2Fwoscc%2Ffull-record%2FWOS:000245542400012","View Full Record in Web of Science")</f>
        <v>View Full Record in Web of Science</v>
      </c>
    </row>
    <row r="290" spans="1:72" x14ac:dyDescent="0.15">
      <c r="A290" t="s">
        <v>72</v>
      </c>
      <c r="B290" t="s">
        <v>4750</v>
      </c>
      <c r="C290" t="s">
        <v>74</v>
      </c>
      <c r="D290" t="s">
        <v>74</v>
      </c>
      <c r="E290" t="s">
        <v>74</v>
      </c>
      <c r="F290" t="s">
        <v>4751</v>
      </c>
      <c r="G290" t="s">
        <v>74</v>
      </c>
      <c r="H290" t="s">
        <v>74</v>
      </c>
      <c r="I290" t="s">
        <v>4752</v>
      </c>
      <c r="J290" t="s">
        <v>4399</v>
      </c>
      <c r="K290" t="s">
        <v>74</v>
      </c>
      <c r="L290" t="s">
        <v>74</v>
      </c>
      <c r="M290" t="s">
        <v>78</v>
      </c>
      <c r="N290" t="s">
        <v>79</v>
      </c>
      <c r="O290" t="s">
        <v>74</v>
      </c>
      <c r="P290" t="s">
        <v>74</v>
      </c>
      <c r="Q290" t="s">
        <v>74</v>
      </c>
      <c r="R290" t="s">
        <v>74</v>
      </c>
      <c r="S290" t="s">
        <v>74</v>
      </c>
      <c r="T290" t="s">
        <v>4753</v>
      </c>
      <c r="U290" t="s">
        <v>4754</v>
      </c>
      <c r="V290" t="s">
        <v>4755</v>
      </c>
      <c r="W290" t="s">
        <v>4756</v>
      </c>
      <c r="X290" t="s">
        <v>4757</v>
      </c>
      <c r="Y290" t="s">
        <v>4758</v>
      </c>
      <c r="Z290" t="s">
        <v>4759</v>
      </c>
      <c r="AA290" t="s">
        <v>4760</v>
      </c>
      <c r="AB290" t="s">
        <v>4761</v>
      </c>
      <c r="AC290" t="s">
        <v>74</v>
      </c>
      <c r="AD290" t="s">
        <v>74</v>
      </c>
      <c r="AE290" t="s">
        <v>74</v>
      </c>
      <c r="AF290" t="s">
        <v>74</v>
      </c>
      <c r="AG290">
        <v>67</v>
      </c>
      <c r="AH290">
        <v>12</v>
      </c>
      <c r="AI290">
        <v>14</v>
      </c>
      <c r="AJ290">
        <v>3</v>
      </c>
      <c r="AK290">
        <v>33</v>
      </c>
      <c r="AL290" t="s">
        <v>115</v>
      </c>
      <c r="AM290" t="s">
        <v>116</v>
      </c>
      <c r="AN290" t="s">
        <v>117</v>
      </c>
      <c r="AO290" t="s">
        <v>4406</v>
      </c>
      <c r="AP290" t="s">
        <v>4423</v>
      </c>
      <c r="AQ290" t="s">
        <v>74</v>
      </c>
      <c r="AR290" t="s">
        <v>4407</v>
      </c>
      <c r="AS290" t="s">
        <v>4408</v>
      </c>
      <c r="AT290" t="s">
        <v>74</v>
      </c>
      <c r="AU290">
        <v>2007</v>
      </c>
      <c r="AV290">
        <v>332</v>
      </c>
      <c r="AW290" t="s">
        <v>74</v>
      </c>
      <c r="AX290" t="s">
        <v>74</v>
      </c>
      <c r="AY290" t="s">
        <v>74</v>
      </c>
      <c r="AZ290" t="s">
        <v>74</v>
      </c>
      <c r="BA290" t="s">
        <v>74</v>
      </c>
      <c r="BB290">
        <v>291</v>
      </c>
      <c r="BC290">
        <v>299</v>
      </c>
      <c r="BD290" t="s">
        <v>74</v>
      </c>
      <c r="BE290" t="s">
        <v>4762</v>
      </c>
      <c r="BF290" t="str">
        <f>HYPERLINK("http://dx.doi.org/10.3354/meps332291","http://dx.doi.org/10.3354/meps332291")</f>
        <v>http://dx.doi.org/10.3354/meps332291</v>
      </c>
      <c r="BG290" t="s">
        <v>74</v>
      </c>
      <c r="BH290" t="s">
        <v>74</v>
      </c>
      <c r="BI290">
        <v>9</v>
      </c>
      <c r="BJ290" t="s">
        <v>4410</v>
      </c>
      <c r="BK290" t="s">
        <v>97</v>
      </c>
      <c r="BL290" t="s">
        <v>4411</v>
      </c>
      <c r="BM290" t="s">
        <v>4733</v>
      </c>
      <c r="BN290" t="s">
        <v>74</v>
      </c>
      <c r="BO290" t="s">
        <v>124</v>
      </c>
      <c r="BP290" t="s">
        <v>74</v>
      </c>
      <c r="BQ290" t="s">
        <v>74</v>
      </c>
      <c r="BR290" t="s">
        <v>100</v>
      </c>
      <c r="BS290" t="s">
        <v>4763</v>
      </c>
      <c r="BT290" t="str">
        <f>HYPERLINK("https%3A%2F%2Fwww.webofscience.com%2Fwos%2Fwoscc%2Ffull-record%2FWOS:000245542400027","View Full Record in Web of Science")</f>
        <v>View Full Record in Web of Science</v>
      </c>
    </row>
    <row r="291" spans="1:72" x14ac:dyDescent="0.15">
      <c r="A291" t="s">
        <v>72</v>
      </c>
      <c r="B291" t="s">
        <v>4764</v>
      </c>
      <c r="C291" t="s">
        <v>74</v>
      </c>
      <c r="D291" t="s">
        <v>74</v>
      </c>
      <c r="E291" t="s">
        <v>74</v>
      </c>
      <c r="F291" t="s">
        <v>4765</v>
      </c>
      <c r="G291" t="s">
        <v>74</v>
      </c>
      <c r="H291" t="s">
        <v>74</v>
      </c>
      <c r="I291" t="s">
        <v>4766</v>
      </c>
      <c r="J291" t="s">
        <v>4399</v>
      </c>
      <c r="K291" t="s">
        <v>74</v>
      </c>
      <c r="L291" t="s">
        <v>74</v>
      </c>
      <c r="M291" t="s">
        <v>78</v>
      </c>
      <c r="N291" t="s">
        <v>79</v>
      </c>
      <c r="O291" t="s">
        <v>74</v>
      </c>
      <c r="P291" t="s">
        <v>74</v>
      </c>
      <c r="Q291" t="s">
        <v>74</v>
      </c>
      <c r="R291" t="s">
        <v>74</v>
      </c>
      <c r="S291" t="s">
        <v>74</v>
      </c>
      <c r="T291" t="s">
        <v>4767</v>
      </c>
      <c r="U291" t="s">
        <v>4768</v>
      </c>
      <c r="V291" t="s">
        <v>4769</v>
      </c>
      <c r="W291" t="s">
        <v>4770</v>
      </c>
      <c r="X291" t="s">
        <v>4771</v>
      </c>
      <c r="Y291" t="s">
        <v>4655</v>
      </c>
      <c r="Z291" t="s">
        <v>4656</v>
      </c>
      <c r="AA291" t="s">
        <v>4772</v>
      </c>
      <c r="AB291" t="s">
        <v>4773</v>
      </c>
      <c r="AC291" t="s">
        <v>4321</v>
      </c>
      <c r="AD291" t="s">
        <v>158</v>
      </c>
      <c r="AE291" t="s">
        <v>74</v>
      </c>
      <c r="AF291" t="s">
        <v>74</v>
      </c>
      <c r="AG291">
        <v>68</v>
      </c>
      <c r="AH291">
        <v>52</v>
      </c>
      <c r="AI291">
        <v>61</v>
      </c>
      <c r="AJ291">
        <v>0</v>
      </c>
      <c r="AK291">
        <v>22</v>
      </c>
      <c r="AL291" t="s">
        <v>115</v>
      </c>
      <c r="AM291" t="s">
        <v>116</v>
      </c>
      <c r="AN291" t="s">
        <v>117</v>
      </c>
      <c r="AO291" t="s">
        <v>4406</v>
      </c>
      <c r="AP291" t="s">
        <v>4423</v>
      </c>
      <c r="AQ291" t="s">
        <v>74</v>
      </c>
      <c r="AR291" t="s">
        <v>4407</v>
      </c>
      <c r="AS291" t="s">
        <v>4408</v>
      </c>
      <c r="AT291" t="s">
        <v>74</v>
      </c>
      <c r="AU291">
        <v>2007</v>
      </c>
      <c r="AV291">
        <v>331</v>
      </c>
      <c r="AW291" t="s">
        <v>74</v>
      </c>
      <c r="AX291" t="s">
        <v>74</v>
      </c>
      <c r="AY291" t="s">
        <v>74</v>
      </c>
      <c r="AZ291" t="s">
        <v>74</v>
      </c>
      <c r="BA291" t="s">
        <v>74</v>
      </c>
      <c r="BB291">
        <v>161</v>
      </c>
      <c r="BC291">
        <v>179</v>
      </c>
      <c r="BD291" t="s">
        <v>74</v>
      </c>
      <c r="BE291" t="s">
        <v>4774</v>
      </c>
      <c r="BF291" t="str">
        <f>HYPERLINK("http://dx.doi.org/10.3354/meps331161","http://dx.doi.org/10.3354/meps331161")</f>
        <v>http://dx.doi.org/10.3354/meps331161</v>
      </c>
      <c r="BG291" t="s">
        <v>74</v>
      </c>
      <c r="BH291" t="s">
        <v>74</v>
      </c>
      <c r="BI291">
        <v>19</v>
      </c>
      <c r="BJ291" t="s">
        <v>4410</v>
      </c>
      <c r="BK291" t="s">
        <v>97</v>
      </c>
      <c r="BL291" t="s">
        <v>4411</v>
      </c>
      <c r="BM291" t="s">
        <v>4775</v>
      </c>
      <c r="BN291" t="s">
        <v>74</v>
      </c>
      <c r="BO291" t="s">
        <v>4776</v>
      </c>
      <c r="BP291" t="s">
        <v>74</v>
      </c>
      <c r="BQ291" t="s">
        <v>74</v>
      </c>
      <c r="BR291" t="s">
        <v>100</v>
      </c>
      <c r="BS291" t="s">
        <v>4777</v>
      </c>
      <c r="BT291" t="str">
        <f>HYPERLINK("https%3A%2F%2Fwww.webofscience.com%2Fwos%2Fwoscc%2Ffull-record%2FWOS:000244872400014","View Full Record in Web of Science")</f>
        <v>View Full Record in Web of Science</v>
      </c>
    </row>
    <row r="292" spans="1:72" x14ac:dyDescent="0.15">
      <c r="A292" t="s">
        <v>72</v>
      </c>
      <c r="B292" t="s">
        <v>4778</v>
      </c>
      <c r="C292" t="s">
        <v>74</v>
      </c>
      <c r="D292" t="s">
        <v>74</v>
      </c>
      <c r="E292" t="s">
        <v>74</v>
      </c>
      <c r="F292" t="s">
        <v>4779</v>
      </c>
      <c r="G292" t="s">
        <v>74</v>
      </c>
      <c r="H292" t="s">
        <v>74</v>
      </c>
      <c r="I292" t="s">
        <v>4780</v>
      </c>
      <c r="J292" t="s">
        <v>4399</v>
      </c>
      <c r="K292" t="s">
        <v>74</v>
      </c>
      <c r="L292" t="s">
        <v>74</v>
      </c>
      <c r="M292" t="s">
        <v>78</v>
      </c>
      <c r="N292" t="s">
        <v>79</v>
      </c>
      <c r="O292" t="s">
        <v>74</v>
      </c>
      <c r="P292" t="s">
        <v>74</v>
      </c>
      <c r="Q292" t="s">
        <v>74</v>
      </c>
      <c r="R292" t="s">
        <v>74</v>
      </c>
      <c r="S292" t="s">
        <v>74</v>
      </c>
      <c r="T292" t="s">
        <v>4781</v>
      </c>
      <c r="U292" t="s">
        <v>4782</v>
      </c>
      <c r="V292" t="s">
        <v>4783</v>
      </c>
      <c r="W292" t="s">
        <v>4784</v>
      </c>
      <c r="X292" t="s">
        <v>4785</v>
      </c>
      <c r="Y292" t="s">
        <v>4786</v>
      </c>
      <c r="Z292" t="s">
        <v>4787</v>
      </c>
      <c r="AA292" t="s">
        <v>4788</v>
      </c>
      <c r="AB292" t="s">
        <v>4686</v>
      </c>
      <c r="AC292" t="s">
        <v>74</v>
      </c>
      <c r="AD292" t="s">
        <v>74</v>
      </c>
      <c r="AE292" t="s">
        <v>74</v>
      </c>
      <c r="AF292" t="s">
        <v>74</v>
      </c>
      <c r="AG292">
        <v>46</v>
      </c>
      <c r="AH292">
        <v>27</v>
      </c>
      <c r="AI292">
        <v>31</v>
      </c>
      <c r="AJ292">
        <v>0</v>
      </c>
      <c r="AK292">
        <v>13</v>
      </c>
      <c r="AL292" t="s">
        <v>115</v>
      </c>
      <c r="AM292" t="s">
        <v>116</v>
      </c>
      <c r="AN292" t="s">
        <v>117</v>
      </c>
      <c r="AO292" t="s">
        <v>4406</v>
      </c>
      <c r="AP292" t="s">
        <v>4423</v>
      </c>
      <c r="AQ292" t="s">
        <v>74</v>
      </c>
      <c r="AR292" t="s">
        <v>4407</v>
      </c>
      <c r="AS292" t="s">
        <v>4408</v>
      </c>
      <c r="AT292" t="s">
        <v>74</v>
      </c>
      <c r="AU292">
        <v>2007</v>
      </c>
      <c r="AV292">
        <v>331</v>
      </c>
      <c r="AW292" t="s">
        <v>74</v>
      </c>
      <c r="AX292" t="s">
        <v>74</v>
      </c>
      <c r="AY292" t="s">
        <v>74</v>
      </c>
      <c r="AZ292" t="s">
        <v>74</v>
      </c>
      <c r="BA292" t="s">
        <v>74</v>
      </c>
      <c r="BB292">
        <v>281</v>
      </c>
      <c r="BC292">
        <v>290</v>
      </c>
      <c r="BD292" t="s">
        <v>74</v>
      </c>
      <c r="BE292" t="s">
        <v>4789</v>
      </c>
      <c r="BF292" t="str">
        <f>HYPERLINK("http://dx.doi.org/10.3354/meps331281","http://dx.doi.org/10.3354/meps331281")</f>
        <v>http://dx.doi.org/10.3354/meps331281</v>
      </c>
      <c r="BG292" t="s">
        <v>74</v>
      </c>
      <c r="BH292" t="s">
        <v>74</v>
      </c>
      <c r="BI292">
        <v>10</v>
      </c>
      <c r="BJ292" t="s">
        <v>4410</v>
      </c>
      <c r="BK292" t="s">
        <v>97</v>
      </c>
      <c r="BL292" t="s">
        <v>4411</v>
      </c>
      <c r="BM292" t="s">
        <v>4775</v>
      </c>
      <c r="BN292" t="s">
        <v>74</v>
      </c>
      <c r="BO292" t="s">
        <v>3809</v>
      </c>
      <c r="BP292" t="s">
        <v>74</v>
      </c>
      <c r="BQ292" t="s">
        <v>74</v>
      </c>
      <c r="BR292" t="s">
        <v>100</v>
      </c>
      <c r="BS292" t="s">
        <v>4790</v>
      </c>
      <c r="BT292" t="str">
        <f>HYPERLINK("https%3A%2F%2Fwww.webofscience.com%2Fwos%2Fwoscc%2Ffull-record%2FWOS:000244872400023","View Full Record in Web of Science")</f>
        <v>View Full Record in Web of Science</v>
      </c>
    </row>
    <row r="293" spans="1:72" x14ac:dyDescent="0.15">
      <c r="A293" t="s">
        <v>72</v>
      </c>
      <c r="B293" t="s">
        <v>4791</v>
      </c>
      <c r="C293" t="s">
        <v>74</v>
      </c>
      <c r="D293" t="s">
        <v>74</v>
      </c>
      <c r="E293" t="s">
        <v>74</v>
      </c>
      <c r="F293" t="s">
        <v>4792</v>
      </c>
      <c r="G293" t="s">
        <v>74</v>
      </c>
      <c r="H293" t="s">
        <v>74</v>
      </c>
      <c r="I293" t="s">
        <v>4793</v>
      </c>
      <c r="J293" t="s">
        <v>4399</v>
      </c>
      <c r="K293" t="s">
        <v>74</v>
      </c>
      <c r="L293" t="s">
        <v>74</v>
      </c>
      <c r="M293" t="s">
        <v>78</v>
      </c>
      <c r="N293" t="s">
        <v>79</v>
      </c>
      <c r="O293" t="s">
        <v>74</v>
      </c>
      <c r="P293" t="s">
        <v>74</v>
      </c>
      <c r="Q293" t="s">
        <v>74</v>
      </c>
      <c r="R293" t="s">
        <v>74</v>
      </c>
      <c r="S293" t="s">
        <v>74</v>
      </c>
      <c r="T293" t="s">
        <v>4794</v>
      </c>
      <c r="U293" t="s">
        <v>4795</v>
      </c>
      <c r="V293" t="s">
        <v>4796</v>
      </c>
      <c r="W293" t="s">
        <v>4797</v>
      </c>
      <c r="X293" t="s">
        <v>4798</v>
      </c>
      <c r="Y293" t="s">
        <v>4799</v>
      </c>
      <c r="Z293" t="s">
        <v>4800</v>
      </c>
      <c r="AA293" t="s">
        <v>4801</v>
      </c>
      <c r="AB293" t="s">
        <v>4802</v>
      </c>
      <c r="AC293" t="s">
        <v>74</v>
      </c>
      <c r="AD293" t="s">
        <v>74</v>
      </c>
      <c r="AE293" t="s">
        <v>74</v>
      </c>
      <c r="AF293" t="s">
        <v>74</v>
      </c>
      <c r="AG293">
        <v>40</v>
      </c>
      <c r="AH293">
        <v>9</v>
      </c>
      <c r="AI293">
        <v>9</v>
      </c>
      <c r="AJ293">
        <v>1</v>
      </c>
      <c r="AK293">
        <v>7</v>
      </c>
      <c r="AL293" t="s">
        <v>115</v>
      </c>
      <c r="AM293" t="s">
        <v>116</v>
      </c>
      <c r="AN293" t="s">
        <v>117</v>
      </c>
      <c r="AO293" t="s">
        <v>4406</v>
      </c>
      <c r="AP293" t="s">
        <v>74</v>
      </c>
      <c r="AQ293" t="s">
        <v>74</v>
      </c>
      <c r="AR293" t="s">
        <v>4407</v>
      </c>
      <c r="AS293" t="s">
        <v>4408</v>
      </c>
      <c r="AT293" t="s">
        <v>74</v>
      </c>
      <c r="AU293">
        <v>2007</v>
      </c>
      <c r="AV293">
        <v>330</v>
      </c>
      <c r="AW293" t="s">
        <v>74</v>
      </c>
      <c r="AX293" t="s">
        <v>74</v>
      </c>
      <c r="AY293" t="s">
        <v>74</v>
      </c>
      <c r="AZ293" t="s">
        <v>74</v>
      </c>
      <c r="BA293" t="s">
        <v>74</v>
      </c>
      <c r="BB293">
        <v>67</v>
      </c>
      <c r="BC293">
        <v>74</v>
      </c>
      <c r="BD293" t="s">
        <v>74</v>
      </c>
      <c r="BE293" t="s">
        <v>4803</v>
      </c>
      <c r="BF293" t="str">
        <f>HYPERLINK("http://dx.doi.org/10.3354/meps330067","http://dx.doi.org/10.3354/meps330067")</f>
        <v>http://dx.doi.org/10.3354/meps330067</v>
      </c>
      <c r="BG293" t="s">
        <v>74</v>
      </c>
      <c r="BH293" t="s">
        <v>74</v>
      </c>
      <c r="BI293">
        <v>8</v>
      </c>
      <c r="BJ293" t="s">
        <v>4410</v>
      </c>
      <c r="BK293" t="s">
        <v>97</v>
      </c>
      <c r="BL293" t="s">
        <v>4411</v>
      </c>
      <c r="BM293" t="s">
        <v>4804</v>
      </c>
      <c r="BN293" t="s">
        <v>74</v>
      </c>
      <c r="BO293" t="s">
        <v>3708</v>
      </c>
      <c r="BP293" t="s">
        <v>74</v>
      </c>
      <c r="BQ293" t="s">
        <v>74</v>
      </c>
      <c r="BR293" t="s">
        <v>100</v>
      </c>
      <c r="BS293" t="s">
        <v>4805</v>
      </c>
      <c r="BT293" t="str">
        <f>HYPERLINK("https%3A%2F%2Fwww.webofscience.com%2Fwos%2Fwoscc%2Ffull-record%2FWOS:000244425100006","View Full Record in Web of Science")</f>
        <v>View Full Record in Web of Science</v>
      </c>
    </row>
    <row r="294" spans="1:72" x14ac:dyDescent="0.15">
      <c r="A294" t="s">
        <v>72</v>
      </c>
      <c r="B294" t="s">
        <v>4806</v>
      </c>
      <c r="C294" t="s">
        <v>74</v>
      </c>
      <c r="D294" t="s">
        <v>74</v>
      </c>
      <c r="E294" t="s">
        <v>74</v>
      </c>
      <c r="F294" t="s">
        <v>4807</v>
      </c>
      <c r="G294" t="s">
        <v>74</v>
      </c>
      <c r="H294" t="s">
        <v>74</v>
      </c>
      <c r="I294" t="s">
        <v>4808</v>
      </c>
      <c r="J294" t="s">
        <v>4399</v>
      </c>
      <c r="K294" t="s">
        <v>74</v>
      </c>
      <c r="L294" t="s">
        <v>74</v>
      </c>
      <c r="M294" t="s">
        <v>78</v>
      </c>
      <c r="N294" t="s">
        <v>79</v>
      </c>
      <c r="O294" t="s">
        <v>74</v>
      </c>
      <c r="P294" t="s">
        <v>74</v>
      </c>
      <c r="Q294" t="s">
        <v>74</v>
      </c>
      <c r="R294" t="s">
        <v>74</v>
      </c>
      <c r="S294" t="s">
        <v>74</v>
      </c>
      <c r="T294" t="s">
        <v>4809</v>
      </c>
      <c r="U294" t="s">
        <v>4810</v>
      </c>
      <c r="V294" t="s">
        <v>4811</v>
      </c>
      <c r="W294" t="s">
        <v>4812</v>
      </c>
      <c r="X294" t="s">
        <v>4813</v>
      </c>
      <c r="Y294" t="s">
        <v>4814</v>
      </c>
      <c r="Z294" t="s">
        <v>4815</v>
      </c>
      <c r="AA294" t="s">
        <v>74</v>
      </c>
      <c r="AB294" t="s">
        <v>74</v>
      </c>
      <c r="AC294" t="s">
        <v>4816</v>
      </c>
      <c r="AD294" t="s">
        <v>1647</v>
      </c>
      <c r="AE294" t="s">
        <v>74</v>
      </c>
      <c r="AF294" t="s">
        <v>74</v>
      </c>
      <c r="AG294">
        <v>39</v>
      </c>
      <c r="AH294">
        <v>21</v>
      </c>
      <c r="AI294">
        <v>21</v>
      </c>
      <c r="AJ294">
        <v>2</v>
      </c>
      <c r="AK294">
        <v>10</v>
      </c>
      <c r="AL294" t="s">
        <v>115</v>
      </c>
      <c r="AM294" t="s">
        <v>116</v>
      </c>
      <c r="AN294" t="s">
        <v>117</v>
      </c>
      <c r="AO294" t="s">
        <v>4406</v>
      </c>
      <c r="AP294" t="s">
        <v>4423</v>
      </c>
      <c r="AQ294" t="s">
        <v>74</v>
      </c>
      <c r="AR294" t="s">
        <v>4407</v>
      </c>
      <c r="AS294" t="s">
        <v>4408</v>
      </c>
      <c r="AT294" t="s">
        <v>74</v>
      </c>
      <c r="AU294">
        <v>2007</v>
      </c>
      <c r="AV294">
        <v>330</v>
      </c>
      <c r="AW294" t="s">
        <v>74</v>
      </c>
      <c r="AX294" t="s">
        <v>74</v>
      </c>
      <c r="AY294" t="s">
        <v>74</v>
      </c>
      <c r="AZ294" t="s">
        <v>74</v>
      </c>
      <c r="BA294" t="s">
        <v>74</v>
      </c>
      <c r="BB294">
        <v>139</v>
      </c>
      <c r="BC294">
        <v>147</v>
      </c>
      <c r="BD294" t="s">
        <v>74</v>
      </c>
      <c r="BE294" t="s">
        <v>4817</v>
      </c>
      <c r="BF294" t="str">
        <f>HYPERLINK("http://dx.doi.org/10.3354/meps330139","http://dx.doi.org/10.3354/meps330139")</f>
        <v>http://dx.doi.org/10.3354/meps330139</v>
      </c>
      <c r="BG294" t="s">
        <v>74</v>
      </c>
      <c r="BH294" t="s">
        <v>74</v>
      </c>
      <c r="BI294">
        <v>9</v>
      </c>
      <c r="BJ294" t="s">
        <v>4410</v>
      </c>
      <c r="BK294" t="s">
        <v>97</v>
      </c>
      <c r="BL294" t="s">
        <v>4411</v>
      </c>
      <c r="BM294" t="s">
        <v>4804</v>
      </c>
      <c r="BN294" t="s">
        <v>74</v>
      </c>
      <c r="BO294" t="s">
        <v>4658</v>
      </c>
      <c r="BP294" t="s">
        <v>74</v>
      </c>
      <c r="BQ294" t="s">
        <v>74</v>
      </c>
      <c r="BR294" t="s">
        <v>100</v>
      </c>
      <c r="BS294" t="s">
        <v>4818</v>
      </c>
      <c r="BT294" t="str">
        <f>HYPERLINK("https%3A%2F%2Fwww.webofscience.com%2Fwos%2Fwoscc%2Ffull-record%2FWOS:000244425100012","View Full Record in Web of Science")</f>
        <v>View Full Record in Web of Science</v>
      </c>
    </row>
    <row r="295" spans="1:72" x14ac:dyDescent="0.15">
      <c r="A295" t="s">
        <v>72</v>
      </c>
      <c r="B295" t="s">
        <v>4819</v>
      </c>
      <c r="C295" t="s">
        <v>74</v>
      </c>
      <c r="D295" t="s">
        <v>74</v>
      </c>
      <c r="E295" t="s">
        <v>74</v>
      </c>
      <c r="F295" t="s">
        <v>4820</v>
      </c>
      <c r="G295" t="s">
        <v>74</v>
      </c>
      <c r="H295" t="s">
        <v>74</v>
      </c>
      <c r="I295" t="s">
        <v>4821</v>
      </c>
      <c r="J295" t="s">
        <v>4399</v>
      </c>
      <c r="K295" t="s">
        <v>74</v>
      </c>
      <c r="L295" t="s">
        <v>74</v>
      </c>
      <c r="M295" t="s">
        <v>78</v>
      </c>
      <c r="N295" t="s">
        <v>79</v>
      </c>
      <c r="O295" t="s">
        <v>74</v>
      </c>
      <c r="P295" t="s">
        <v>74</v>
      </c>
      <c r="Q295" t="s">
        <v>74</v>
      </c>
      <c r="R295" t="s">
        <v>74</v>
      </c>
      <c r="S295" t="s">
        <v>74</v>
      </c>
      <c r="T295" t="s">
        <v>4822</v>
      </c>
      <c r="U295" t="s">
        <v>4823</v>
      </c>
      <c r="V295" t="s">
        <v>4824</v>
      </c>
      <c r="W295" t="s">
        <v>4825</v>
      </c>
      <c r="X295" t="s">
        <v>4826</v>
      </c>
      <c r="Y295" t="s">
        <v>4827</v>
      </c>
      <c r="Z295" t="s">
        <v>4828</v>
      </c>
      <c r="AA295" t="s">
        <v>4829</v>
      </c>
      <c r="AB295" t="s">
        <v>4830</v>
      </c>
      <c r="AC295" t="s">
        <v>74</v>
      </c>
      <c r="AD295" t="s">
        <v>74</v>
      </c>
      <c r="AE295" t="s">
        <v>74</v>
      </c>
      <c r="AF295" t="s">
        <v>74</v>
      </c>
      <c r="AG295">
        <v>43</v>
      </c>
      <c r="AH295">
        <v>80</v>
      </c>
      <c r="AI295">
        <v>97</v>
      </c>
      <c r="AJ295">
        <v>3</v>
      </c>
      <c r="AK295">
        <v>46</v>
      </c>
      <c r="AL295" t="s">
        <v>115</v>
      </c>
      <c r="AM295" t="s">
        <v>116</v>
      </c>
      <c r="AN295" t="s">
        <v>117</v>
      </c>
      <c r="AO295" t="s">
        <v>4406</v>
      </c>
      <c r="AP295" t="s">
        <v>74</v>
      </c>
      <c r="AQ295" t="s">
        <v>74</v>
      </c>
      <c r="AR295" t="s">
        <v>4407</v>
      </c>
      <c r="AS295" t="s">
        <v>4408</v>
      </c>
      <c r="AT295" t="s">
        <v>74</v>
      </c>
      <c r="AU295">
        <v>2007</v>
      </c>
      <c r="AV295">
        <v>330</v>
      </c>
      <c r="AW295" t="s">
        <v>74</v>
      </c>
      <c r="AX295" t="s">
        <v>74</v>
      </c>
      <c r="AY295" t="s">
        <v>74</v>
      </c>
      <c r="AZ295" t="s">
        <v>74</v>
      </c>
      <c r="BA295" t="s">
        <v>74</v>
      </c>
      <c r="BB295">
        <v>257</v>
      </c>
      <c r="BC295">
        <v>268</v>
      </c>
      <c r="BD295" t="s">
        <v>74</v>
      </c>
      <c r="BE295" t="s">
        <v>4831</v>
      </c>
      <c r="BF295" t="str">
        <f>HYPERLINK("http://dx.doi.org/10.3354/meps330257","http://dx.doi.org/10.3354/meps330257")</f>
        <v>http://dx.doi.org/10.3354/meps330257</v>
      </c>
      <c r="BG295" t="s">
        <v>74</v>
      </c>
      <c r="BH295" t="s">
        <v>74</v>
      </c>
      <c r="BI295">
        <v>12</v>
      </c>
      <c r="BJ295" t="s">
        <v>4410</v>
      </c>
      <c r="BK295" t="s">
        <v>97</v>
      </c>
      <c r="BL295" t="s">
        <v>4411</v>
      </c>
      <c r="BM295" t="s">
        <v>4804</v>
      </c>
      <c r="BN295" t="s">
        <v>74</v>
      </c>
      <c r="BO295" t="s">
        <v>124</v>
      </c>
      <c r="BP295" t="s">
        <v>74</v>
      </c>
      <c r="BQ295" t="s">
        <v>74</v>
      </c>
      <c r="BR295" t="s">
        <v>100</v>
      </c>
      <c r="BS295" t="s">
        <v>4832</v>
      </c>
      <c r="BT295" t="str">
        <f>HYPERLINK("https%3A%2F%2Fwww.webofscience.com%2Fwos%2Fwoscc%2Ffull-record%2FWOS:000244425100023","View Full Record in Web of Science")</f>
        <v>View Full Record in Web of Science</v>
      </c>
    </row>
    <row r="296" spans="1:72" x14ac:dyDescent="0.15">
      <c r="A296" t="s">
        <v>72</v>
      </c>
      <c r="B296" t="s">
        <v>4833</v>
      </c>
      <c r="C296" t="s">
        <v>74</v>
      </c>
      <c r="D296" t="s">
        <v>74</v>
      </c>
      <c r="E296" t="s">
        <v>74</v>
      </c>
      <c r="F296" t="s">
        <v>4834</v>
      </c>
      <c r="G296" t="s">
        <v>74</v>
      </c>
      <c r="H296" t="s">
        <v>74</v>
      </c>
      <c r="I296" t="s">
        <v>4835</v>
      </c>
      <c r="J296" t="s">
        <v>4399</v>
      </c>
      <c r="K296" t="s">
        <v>74</v>
      </c>
      <c r="L296" t="s">
        <v>74</v>
      </c>
      <c r="M296" t="s">
        <v>78</v>
      </c>
      <c r="N296" t="s">
        <v>79</v>
      </c>
      <c r="O296" t="s">
        <v>74</v>
      </c>
      <c r="P296" t="s">
        <v>74</v>
      </c>
      <c r="Q296" t="s">
        <v>74</v>
      </c>
      <c r="R296" t="s">
        <v>74</v>
      </c>
      <c r="S296" t="s">
        <v>74</v>
      </c>
      <c r="T296" t="s">
        <v>4836</v>
      </c>
      <c r="U296" t="s">
        <v>4837</v>
      </c>
      <c r="V296" t="s">
        <v>4838</v>
      </c>
      <c r="W296" t="s">
        <v>4839</v>
      </c>
      <c r="X296" t="s">
        <v>4840</v>
      </c>
      <c r="Y296" t="s">
        <v>4841</v>
      </c>
      <c r="Z296" t="s">
        <v>4842</v>
      </c>
      <c r="AA296" t="s">
        <v>74</v>
      </c>
      <c r="AB296" t="s">
        <v>4843</v>
      </c>
      <c r="AC296" t="s">
        <v>74</v>
      </c>
      <c r="AD296" t="s">
        <v>74</v>
      </c>
      <c r="AE296" t="s">
        <v>74</v>
      </c>
      <c r="AF296" t="s">
        <v>74</v>
      </c>
      <c r="AG296">
        <v>51</v>
      </c>
      <c r="AH296">
        <v>32</v>
      </c>
      <c r="AI296">
        <v>36</v>
      </c>
      <c r="AJ296">
        <v>0</v>
      </c>
      <c r="AK296">
        <v>15</v>
      </c>
      <c r="AL296" t="s">
        <v>115</v>
      </c>
      <c r="AM296" t="s">
        <v>116</v>
      </c>
      <c r="AN296" t="s">
        <v>117</v>
      </c>
      <c r="AO296" t="s">
        <v>4406</v>
      </c>
      <c r="AP296" t="s">
        <v>4423</v>
      </c>
      <c r="AQ296" t="s">
        <v>74</v>
      </c>
      <c r="AR296" t="s">
        <v>4407</v>
      </c>
      <c r="AS296" t="s">
        <v>4408</v>
      </c>
      <c r="AT296" t="s">
        <v>74</v>
      </c>
      <c r="AU296">
        <v>2007</v>
      </c>
      <c r="AV296">
        <v>330</v>
      </c>
      <c r="AW296" t="s">
        <v>74</v>
      </c>
      <c r="AX296" t="s">
        <v>74</v>
      </c>
      <c r="AY296" t="s">
        <v>74</v>
      </c>
      <c r="AZ296" t="s">
        <v>74</v>
      </c>
      <c r="BA296" t="s">
        <v>74</v>
      </c>
      <c r="BB296">
        <v>285</v>
      </c>
      <c r="BC296">
        <v>295</v>
      </c>
      <c r="BD296" t="s">
        <v>74</v>
      </c>
      <c r="BE296" t="s">
        <v>74</v>
      </c>
      <c r="BF296" t="s">
        <v>74</v>
      </c>
      <c r="BG296" t="s">
        <v>74</v>
      </c>
      <c r="BH296" t="s">
        <v>74</v>
      </c>
      <c r="BI296">
        <v>11</v>
      </c>
      <c r="BJ296" t="s">
        <v>4410</v>
      </c>
      <c r="BK296" t="s">
        <v>97</v>
      </c>
      <c r="BL296" t="s">
        <v>4411</v>
      </c>
      <c r="BM296" t="s">
        <v>4804</v>
      </c>
      <c r="BN296" t="s">
        <v>74</v>
      </c>
      <c r="BO296" t="s">
        <v>74</v>
      </c>
      <c r="BP296" t="s">
        <v>74</v>
      </c>
      <c r="BQ296" t="s">
        <v>74</v>
      </c>
      <c r="BR296" t="s">
        <v>100</v>
      </c>
      <c r="BS296" t="s">
        <v>4844</v>
      </c>
      <c r="BT296" t="str">
        <f>HYPERLINK("https%3A%2F%2Fwww.webofscience.com%2Fwos%2Fwoscc%2Ffull-record%2FWOS:000244425100025","View Full Record in Web of Science")</f>
        <v>View Full Record in Web of Science</v>
      </c>
    </row>
    <row r="297" spans="1:72" x14ac:dyDescent="0.15">
      <c r="A297" t="s">
        <v>72</v>
      </c>
      <c r="B297" t="s">
        <v>4845</v>
      </c>
      <c r="C297" t="s">
        <v>74</v>
      </c>
      <c r="D297" t="s">
        <v>74</v>
      </c>
      <c r="E297" t="s">
        <v>74</v>
      </c>
      <c r="F297" t="s">
        <v>4846</v>
      </c>
      <c r="G297" t="s">
        <v>74</v>
      </c>
      <c r="H297" t="s">
        <v>74</v>
      </c>
      <c r="I297" t="s">
        <v>4847</v>
      </c>
      <c r="J297" t="s">
        <v>4848</v>
      </c>
      <c r="K297" t="s">
        <v>74</v>
      </c>
      <c r="L297" t="s">
        <v>74</v>
      </c>
      <c r="M297" t="s">
        <v>78</v>
      </c>
      <c r="N297" t="s">
        <v>79</v>
      </c>
      <c r="O297" t="s">
        <v>74</v>
      </c>
      <c r="P297" t="s">
        <v>74</v>
      </c>
      <c r="Q297" t="s">
        <v>74</v>
      </c>
      <c r="R297" t="s">
        <v>74</v>
      </c>
      <c r="S297" t="s">
        <v>74</v>
      </c>
      <c r="T297" t="s">
        <v>4849</v>
      </c>
      <c r="U297" t="s">
        <v>4850</v>
      </c>
      <c r="V297" t="s">
        <v>4851</v>
      </c>
      <c r="W297" t="s">
        <v>4852</v>
      </c>
      <c r="X297" t="s">
        <v>4853</v>
      </c>
      <c r="Y297" t="s">
        <v>4854</v>
      </c>
      <c r="Z297" t="s">
        <v>4855</v>
      </c>
      <c r="AA297" t="s">
        <v>4856</v>
      </c>
      <c r="AB297" t="s">
        <v>4857</v>
      </c>
      <c r="AC297" t="s">
        <v>74</v>
      </c>
      <c r="AD297" t="s">
        <v>74</v>
      </c>
      <c r="AE297" t="s">
        <v>74</v>
      </c>
      <c r="AF297" t="s">
        <v>74</v>
      </c>
      <c r="AG297">
        <v>29</v>
      </c>
      <c r="AH297">
        <v>2</v>
      </c>
      <c r="AI297">
        <v>2</v>
      </c>
      <c r="AJ297">
        <v>3</v>
      </c>
      <c r="AK297">
        <v>11</v>
      </c>
      <c r="AL297" t="s">
        <v>4858</v>
      </c>
      <c r="AM297" t="s">
        <v>4859</v>
      </c>
      <c r="AN297" t="s">
        <v>4860</v>
      </c>
      <c r="AO297" t="s">
        <v>4861</v>
      </c>
      <c r="AP297" t="s">
        <v>4862</v>
      </c>
      <c r="AQ297" t="s">
        <v>74</v>
      </c>
      <c r="AR297" t="s">
        <v>4863</v>
      </c>
      <c r="AS297" t="s">
        <v>4864</v>
      </c>
      <c r="AT297" t="s">
        <v>74</v>
      </c>
      <c r="AU297">
        <v>2007</v>
      </c>
      <c r="AV297">
        <v>30</v>
      </c>
      <c r="AW297">
        <v>4</v>
      </c>
      <c r="AX297" t="s">
        <v>74</v>
      </c>
      <c r="AY297" t="s">
        <v>74</v>
      </c>
      <c r="AZ297" t="s">
        <v>74</v>
      </c>
      <c r="BA297" t="s">
        <v>74</v>
      </c>
      <c r="BB297">
        <v>345</v>
      </c>
      <c r="BC297">
        <v>354</v>
      </c>
      <c r="BD297" t="s">
        <v>74</v>
      </c>
      <c r="BE297" t="s">
        <v>4865</v>
      </c>
      <c r="BF297" t="str">
        <f>HYPERLINK("http://dx.doi.org/10.1080/01490410701568467","http://dx.doi.org/10.1080/01490410701568467")</f>
        <v>http://dx.doi.org/10.1080/01490410701568467</v>
      </c>
      <c r="BG297" t="s">
        <v>74</v>
      </c>
      <c r="BH297" t="s">
        <v>74</v>
      </c>
      <c r="BI297">
        <v>10</v>
      </c>
      <c r="BJ297" t="s">
        <v>4866</v>
      </c>
      <c r="BK297" t="s">
        <v>97</v>
      </c>
      <c r="BL297" t="s">
        <v>4866</v>
      </c>
      <c r="BM297" t="s">
        <v>4867</v>
      </c>
      <c r="BN297" t="s">
        <v>74</v>
      </c>
      <c r="BO297" t="s">
        <v>74</v>
      </c>
      <c r="BP297" t="s">
        <v>74</v>
      </c>
      <c r="BQ297" t="s">
        <v>74</v>
      </c>
      <c r="BR297" t="s">
        <v>100</v>
      </c>
      <c r="BS297" t="s">
        <v>4868</v>
      </c>
      <c r="BT297" t="str">
        <f>HYPERLINK("https%3A%2F%2Fwww.webofscience.com%2Fwos%2Fwoscc%2Ffull-record%2FWOS:000251613100006","View Full Record in Web of Science")</f>
        <v>View Full Record in Web of Science</v>
      </c>
    </row>
    <row r="298" spans="1:72" x14ac:dyDescent="0.15">
      <c r="A298" t="s">
        <v>72</v>
      </c>
      <c r="B298" t="s">
        <v>4869</v>
      </c>
      <c r="C298" t="s">
        <v>74</v>
      </c>
      <c r="D298" t="s">
        <v>74</v>
      </c>
      <c r="E298" t="s">
        <v>74</v>
      </c>
      <c r="F298" t="s">
        <v>4870</v>
      </c>
      <c r="G298" t="s">
        <v>74</v>
      </c>
      <c r="H298" t="s">
        <v>74</v>
      </c>
      <c r="I298" t="s">
        <v>4871</v>
      </c>
      <c r="J298" t="s">
        <v>4872</v>
      </c>
      <c r="K298" t="s">
        <v>74</v>
      </c>
      <c r="L298" t="s">
        <v>74</v>
      </c>
      <c r="M298" t="s">
        <v>78</v>
      </c>
      <c r="N298" t="s">
        <v>79</v>
      </c>
      <c r="O298" t="s">
        <v>74</v>
      </c>
      <c r="P298" t="s">
        <v>74</v>
      </c>
      <c r="Q298" t="s">
        <v>74</v>
      </c>
      <c r="R298" t="s">
        <v>74</v>
      </c>
      <c r="S298" t="s">
        <v>74</v>
      </c>
      <c r="T298" t="s">
        <v>4873</v>
      </c>
      <c r="U298" t="s">
        <v>4874</v>
      </c>
      <c r="V298" t="s">
        <v>4875</v>
      </c>
      <c r="W298" t="s">
        <v>4876</v>
      </c>
      <c r="X298" t="s">
        <v>4877</v>
      </c>
      <c r="Y298" t="s">
        <v>4878</v>
      </c>
      <c r="Z298" t="s">
        <v>4879</v>
      </c>
      <c r="AA298" t="s">
        <v>74</v>
      </c>
      <c r="AB298" t="s">
        <v>4880</v>
      </c>
      <c r="AC298" t="s">
        <v>74</v>
      </c>
      <c r="AD298" t="s">
        <v>74</v>
      </c>
      <c r="AE298" t="s">
        <v>74</v>
      </c>
      <c r="AF298" t="s">
        <v>74</v>
      </c>
      <c r="AG298">
        <v>52</v>
      </c>
      <c r="AH298">
        <v>6</v>
      </c>
      <c r="AI298">
        <v>9</v>
      </c>
      <c r="AJ298">
        <v>0</v>
      </c>
      <c r="AK298">
        <v>2</v>
      </c>
      <c r="AL298" t="s">
        <v>613</v>
      </c>
      <c r="AM298" t="s">
        <v>614</v>
      </c>
      <c r="AN298" t="s">
        <v>1156</v>
      </c>
      <c r="AO298" t="s">
        <v>4881</v>
      </c>
      <c r="AP298" t="s">
        <v>4882</v>
      </c>
      <c r="AQ298" t="s">
        <v>74</v>
      </c>
      <c r="AR298" t="s">
        <v>4883</v>
      </c>
      <c r="AS298" t="s">
        <v>4884</v>
      </c>
      <c r="AT298" t="s">
        <v>74</v>
      </c>
      <c r="AU298">
        <v>2007</v>
      </c>
      <c r="AV298">
        <v>28</v>
      </c>
      <c r="AW298">
        <v>1</v>
      </c>
      <c r="AX298" t="s">
        <v>74</v>
      </c>
      <c r="AY298" t="s">
        <v>74</v>
      </c>
      <c r="AZ298" t="s">
        <v>74</v>
      </c>
      <c r="BA298" t="s">
        <v>74</v>
      </c>
      <c r="BB298">
        <v>43</v>
      </c>
      <c r="BC298">
        <v>57</v>
      </c>
      <c r="BD298" t="s">
        <v>74</v>
      </c>
      <c r="BE298" t="s">
        <v>4885</v>
      </c>
      <c r="BF298" t="str">
        <f>HYPERLINK("http://dx.doi.org/10.1007/s11001-007-9013-x","http://dx.doi.org/10.1007/s11001-007-9013-x")</f>
        <v>http://dx.doi.org/10.1007/s11001-007-9013-x</v>
      </c>
      <c r="BG298" t="s">
        <v>74</v>
      </c>
      <c r="BH298" t="s">
        <v>74</v>
      </c>
      <c r="BI298">
        <v>15</v>
      </c>
      <c r="BJ298" t="s">
        <v>4886</v>
      </c>
      <c r="BK298" t="s">
        <v>97</v>
      </c>
      <c r="BL298" t="s">
        <v>4886</v>
      </c>
      <c r="BM298" t="s">
        <v>4887</v>
      </c>
      <c r="BN298" t="s">
        <v>74</v>
      </c>
      <c r="BO298" t="s">
        <v>74</v>
      </c>
      <c r="BP298" t="s">
        <v>74</v>
      </c>
      <c r="BQ298" t="s">
        <v>74</v>
      </c>
      <c r="BR298" t="s">
        <v>100</v>
      </c>
      <c r="BS298" t="s">
        <v>4888</v>
      </c>
      <c r="BT298" t="str">
        <f>HYPERLINK("https%3A%2F%2Fwww.webofscience.com%2Fwos%2Fwoscc%2Ffull-record%2FWOS:000246886100004","View Full Record in Web of Science")</f>
        <v>View Full Record in Web of Science</v>
      </c>
    </row>
    <row r="299" spans="1:72" x14ac:dyDescent="0.15">
      <c r="A299" t="s">
        <v>72</v>
      </c>
      <c r="B299" t="s">
        <v>4889</v>
      </c>
      <c r="C299" t="s">
        <v>74</v>
      </c>
      <c r="D299" t="s">
        <v>74</v>
      </c>
      <c r="E299" t="s">
        <v>74</v>
      </c>
      <c r="F299" t="s">
        <v>4890</v>
      </c>
      <c r="G299" t="s">
        <v>74</v>
      </c>
      <c r="H299" t="s">
        <v>74</v>
      </c>
      <c r="I299" t="s">
        <v>4891</v>
      </c>
      <c r="J299" t="s">
        <v>4892</v>
      </c>
      <c r="K299" t="s">
        <v>74</v>
      </c>
      <c r="L299" t="s">
        <v>74</v>
      </c>
      <c r="M299" t="s">
        <v>78</v>
      </c>
      <c r="N299" t="s">
        <v>79</v>
      </c>
      <c r="O299" t="s">
        <v>74</v>
      </c>
      <c r="P299" t="s">
        <v>74</v>
      </c>
      <c r="Q299" t="s">
        <v>74</v>
      </c>
      <c r="R299" t="s">
        <v>74</v>
      </c>
      <c r="S299" t="s">
        <v>74</v>
      </c>
      <c r="T299" t="s">
        <v>74</v>
      </c>
      <c r="U299" t="s">
        <v>4893</v>
      </c>
      <c r="V299" t="s">
        <v>4894</v>
      </c>
      <c r="W299" t="s">
        <v>4895</v>
      </c>
      <c r="X299" t="s">
        <v>4896</v>
      </c>
      <c r="Y299" t="s">
        <v>4897</v>
      </c>
      <c r="Z299" t="s">
        <v>4898</v>
      </c>
      <c r="AA299" t="s">
        <v>4899</v>
      </c>
      <c r="AB299" t="s">
        <v>4900</v>
      </c>
      <c r="AC299" t="s">
        <v>74</v>
      </c>
      <c r="AD299" t="s">
        <v>74</v>
      </c>
      <c r="AE299" t="s">
        <v>74</v>
      </c>
      <c r="AF299" t="s">
        <v>74</v>
      </c>
      <c r="AG299">
        <v>30</v>
      </c>
      <c r="AH299">
        <v>24</v>
      </c>
      <c r="AI299">
        <v>25</v>
      </c>
      <c r="AJ299">
        <v>0</v>
      </c>
      <c r="AK299">
        <v>16</v>
      </c>
      <c r="AL299" t="s">
        <v>159</v>
      </c>
      <c r="AM299" t="s">
        <v>160</v>
      </c>
      <c r="AN299" t="s">
        <v>161</v>
      </c>
      <c r="AO299" t="s">
        <v>4901</v>
      </c>
      <c r="AP299" t="s">
        <v>4902</v>
      </c>
      <c r="AQ299" t="s">
        <v>74</v>
      </c>
      <c r="AR299" t="s">
        <v>4903</v>
      </c>
      <c r="AS299" t="s">
        <v>4904</v>
      </c>
      <c r="AT299" t="s">
        <v>661</v>
      </c>
      <c r="AU299">
        <v>2007</v>
      </c>
      <c r="AV299">
        <v>42</v>
      </c>
      <c r="AW299">
        <v>1</v>
      </c>
      <c r="AX299" t="s">
        <v>74</v>
      </c>
      <c r="AY299" t="s">
        <v>74</v>
      </c>
      <c r="AZ299" t="s">
        <v>74</v>
      </c>
      <c r="BA299" t="s">
        <v>74</v>
      </c>
      <c r="BB299">
        <v>19</v>
      </c>
      <c r="BC299">
        <v>30</v>
      </c>
      <c r="BD299" t="s">
        <v>74</v>
      </c>
      <c r="BE299" t="s">
        <v>4905</v>
      </c>
      <c r="BF299" t="str">
        <f>HYPERLINK("http://dx.doi.org/10.1111/j.1945-5100.2007.tb00214.x","http://dx.doi.org/10.1111/j.1945-5100.2007.tb00214.x")</f>
        <v>http://dx.doi.org/10.1111/j.1945-5100.2007.tb00214.x</v>
      </c>
      <c r="BG299" t="s">
        <v>74</v>
      </c>
      <c r="BH299" t="s">
        <v>74</v>
      </c>
      <c r="BI299">
        <v>12</v>
      </c>
      <c r="BJ299" t="s">
        <v>865</v>
      </c>
      <c r="BK299" t="s">
        <v>97</v>
      </c>
      <c r="BL299" t="s">
        <v>865</v>
      </c>
      <c r="BM299" t="s">
        <v>4906</v>
      </c>
      <c r="BN299" t="s">
        <v>74</v>
      </c>
      <c r="BO299" t="s">
        <v>124</v>
      </c>
      <c r="BP299" t="s">
        <v>74</v>
      </c>
      <c r="BQ299" t="s">
        <v>74</v>
      </c>
      <c r="BR299" t="s">
        <v>100</v>
      </c>
      <c r="BS299" t="s">
        <v>4907</v>
      </c>
      <c r="BT299" t="str">
        <f>HYPERLINK("https%3A%2F%2Fwww.webofscience.com%2Fwos%2Fwoscc%2Ffull-record%2FWOS:000243351600002","View Full Record in Web of Science")</f>
        <v>View Full Record in Web of Science</v>
      </c>
    </row>
    <row r="300" spans="1:72" x14ac:dyDescent="0.15">
      <c r="A300" t="s">
        <v>72</v>
      </c>
      <c r="B300" t="s">
        <v>4908</v>
      </c>
      <c r="C300" t="s">
        <v>74</v>
      </c>
      <c r="D300" t="s">
        <v>74</v>
      </c>
      <c r="E300" t="s">
        <v>74</v>
      </c>
      <c r="F300" t="s">
        <v>4909</v>
      </c>
      <c r="G300" t="s">
        <v>74</v>
      </c>
      <c r="H300" t="s">
        <v>74</v>
      </c>
      <c r="I300" t="s">
        <v>4910</v>
      </c>
      <c r="J300" t="s">
        <v>4892</v>
      </c>
      <c r="K300" t="s">
        <v>74</v>
      </c>
      <c r="L300" t="s">
        <v>74</v>
      </c>
      <c r="M300" t="s">
        <v>78</v>
      </c>
      <c r="N300" t="s">
        <v>79</v>
      </c>
      <c r="O300" t="s">
        <v>74</v>
      </c>
      <c r="P300" t="s">
        <v>74</v>
      </c>
      <c r="Q300" t="s">
        <v>74</v>
      </c>
      <c r="R300" t="s">
        <v>74</v>
      </c>
      <c r="S300" t="s">
        <v>74</v>
      </c>
      <c r="T300" t="s">
        <v>74</v>
      </c>
      <c r="U300" t="s">
        <v>4911</v>
      </c>
      <c r="V300" t="s">
        <v>4912</v>
      </c>
      <c r="W300" t="s">
        <v>4913</v>
      </c>
      <c r="X300" t="s">
        <v>4914</v>
      </c>
      <c r="Y300" t="s">
        <v>4915</v>
      </c>
      <c r="Z300" t="s">
        <v>4916</v>
      </c>
      <c r="AA300" t="s">
        <v>4917</v>
      </c>
      <c r="AB300" t="s">
        <v>4918</v>
      </c>
      <c r="AC300" t="s">
        <v>74</v>
      </c>
      <c r="AD300" t="s">
        <v>74</v>
      </c>
      <c r="AE300" t="s">
        <v>74</v>
      </c>
      <c r="AF300" t="s">
        <v>74</v>
      </c>
      <c r="AG300">
        <v>40</v>
      </c>
      <c r="AH300">
        <v>59</v>
      </c>
      <c r="AI300">
        <v>64</v>
      </c>
      <c r="AJ300">
        <v>1</v>
      </c>
      <c r="AK300">
        <v>14</v>
      </c>
      <c r="AL300" t="s">
        <v>159</v>
      </c>
      <c r="AM300" t="s">
        <v>160</v>
      </c>
      <c r="AN300" t="s">
        <v>161</v>
      </c>
      <c r="AO300" t="s">
        <v>4901</v>
      </c>
      <c r="AP300" t="s">
        <v>4902</v>
      </c>
      <c r="AQ300" t="s">
        <v>74</v>
      </c>
      <c r="AR300" t="s">
        <v>4903</v>
      </c>
      <c r="AS300" t="s">
        <v>4904</v>
      </c>
      <c r="AT300" t="s">
        <v>661</v>
      </c>
      <c r="AU300">
        <v>2007</v>
      </c>
      <c r="AV300">
        <v>42</v>
      </c>
      <c r="AW300">
        <v>1</v>
      </c>
      <c r="AX300" t="s">
        <v>74</v>
      </c>
      <c r="AY300" t="s">
        <v>74</v>
      </c>
      <c r="AZ300" t="s">
        <v>74</v>
      </c>
      <c r="BA300" t="s">
        <v>74</v>
      </c>
      <c r="BB300">
        <v>81</v>
      </c>
      <c r="BC300">
        <v>92</v>
      </c>
      <c r="BD300" t="s">
        <v>74</v>
      </c>
      <c r="BE300" t="s">
        <v>4919</v>
      </c>
      <c r="BF300" t="str">
        <f>HYPERLINK("http://dx.doi.org/10.1111/j.1945-5100.2007.tb00219.x","http://dx.doi.org/10.1111/j.1945-5100.2007.tb00219.x")</f>
        <v>http://dx.doi.org/10.1111/j.1945-5100.2007.tb00219.x</v>
      </c>
      <c r="BG300" t="s">
        <v>74</v>
      </c>
      <c r="BH300" t="s">
        <v>74</v>
      </c>
      <c r="BI300">
        <v>12</v>
      </c>
      <c r="BJ300" t="s">
        <v>865</v>
      </c>
      <c r="BK300" t="s">
        <v>97</v>
      </c>
      <c r="BL300" t="s">
        <v>865</v>
      </c>
      <c r="BM300" t="s">
        <v>4906</v>
      </c>
      <c r="BN300" t="s">
        <v>74</v>
      </c>
      <c r="BO300" t="s">
        <v>124</v>
      </c>
      <c r="BP300" t="s">
        <v>74</v>
      </c>
      <c r="BQ300" t="s">
        <v>74</v>
      </c>
      <c r="BR300" t="s">
        <v>100</v>
      </c>
      <c r="BS300" t="s">
        <v>4920</v>
      </c>
      <c r="BT300" t="str">
        <f>HYPERLINK("https%3A%2F%2Fwww.webofscience.com%2Fwos%2Fwoscc%2Ffull-record%2FWOS:000243351600007","View Full Record in Web of Science")</f>
        <v>View Full Record in Web of Science</v>
      </c>
    </row>
    <row r="301" spans="1:72" x14ac:dyDescent="0.15">
      <c r="A301" t="s">
        <v>72</v>
      </c>
      <c r="B301" t="s">
        <v>4921</v>
      </c>
      <c r="C301" t="s">
        <v>74</v>
      </c>
      <c r="D301" t="s">
        <v>74</v>
      </c>
      <c r="E301" t="s">
        <v>74</v>
      </c>
      <c r="F301" t="s">
        <v>4922</v>
      </c>
      <c r="G301" t="s">
        <v>74</v>
      </c>
      <c r="H301" t="s">
        <v>74</v>
      </c>
      <c r="I301" t="s">
        <v>4923</v>
      </c>
      <c r="J301" t="s">
        <v>4924</v>
      </c>
      <c r="K301" t="s">
        <v>74</v>
      </c>
      <c r="L301" t="s">
        <v>74</v>
      </c>
      <c r="M301" t="s">
        <v>78</v>
      </c>
      <c r="N301" t="s">
        <v>79</v>
      </c>
      <c r="O301" t="s">
        <v>74</v>
      </c>
      <c r="P301" t="s">
        <v>74</v>
      </c>
      <c r="Q301" t="s">
        <v>74</v>
      </c>
      <c r="R301" t="s">
        <v>74</v>
      </c>
      <c r="S301" t="s">
        <v>74</v>
      </c>
      <c r="T301" t="s">
        <v>74</v>
      </c>
      <c r="U301" t="s">
        <v>4925</v>
      </c>
      <c r="V301" t="s">
        <v>4926</v>
      </c>
      <c r="W301" t="s">
        <v>4927</v>
      </c>
      <c r="X301" t="s">
        <v>4928</v>
      </c>
      <c r="Y301" t="s">
        <v>2409</v>
      </c>
      <c r="Z301" t="s">
        <v>2410</v>
      </c>
      <c r="AA301" t="s">
        <v>2411</v>
      </c>
      <c r="AB301" t="s">
        <v>2412</v>
      </c>
      <c r="AC301" t="s">
        <v>74</v>
      </c>
      <c r="AD301" t="s">
        <v>74</v>
      </c>
      <c r="AE301" t="s">
        <v>74</v>
      </c>
      <c r="AF301" t="s">
        <v>74</v>
      </c>
      <c r="AG301">
        <v>55</v>
      </c>
      <c r="AH301">
        <v>47</v>
      </c>
      <c r="AI301">
        <v>59</v>
      </c>
      <c r="AJ301">
        <v>1</v>
      </c>
      <c r="AK301">
        <v>33</v>
      </c>
      <c r="AL301" t="s">
        <v>613</v>
      </c>
      <c r="AM301" t="s">
        <v>678</v>
      </c>
      <c r="AN301" t="s">
        <v>679</v>
      </c>
      <c r="AO301" t="s">
        <v>4929</v>
      </c>
      <c r="AP301" t="s">
        <v>4930</v>
      </c>
      <c r="AQ301" t="s">
        <v>74</v>
      </c>
      <c r="AR301" t="s">
        <v>4931</v>
      </c>
      <c r="AS301" t="s">
        <v>4932</v>
      </c>
      <c r="AT301" t="s">
        <v>661</v>
      </c>
      <c r="AU301">
        <v>2007</v>
      </c>
      <c r="AV301">
        <v>53</v>
      </c>
      <c r="AW301">
        <v>1</v>
      </c>
      <c r="AX301" t="s">
        <v>74</v>
      </c>
      <c r="AY301" t="s">
        <v>74</v>
      </c>
      <c r="AZ301" t="s">
        <v>74</v>
      </c>
      <c r="BA301" t="s">
        <v>74</v>
      </c>
      <c r="BB301">
        <v>1</v>
      </c>
      <c r="BC301">
        <v>11</v>
      </c>
      <c r="BD301" t="s">
        <v>74</v>
      </c>
      <c r="BE301" t="s">
        <v>4933</v>
      </c>
      <c r="BF301" t="str">
        <f>HYPERLINK("http://dx.doi.org/10.1007/s00248-006-9146-5","http://dx.doi.org/10.1007/s00248-006-9146-5")</f>
        <v>http://dx.doi.org/10.1007/s00248-006-9146-5</v>
      </c>
      <c r="BG301" t="s">
        <v>74</v>
      </c>
      <c r="BH301" t="s">
        <v>74</v>
      </c>
      <c r="BI301">
        <v>11</v>
      </c>
      <c r="BJ301" t="s">
        <v>4934</v>
      </c>
      <c r="BK301" t="s">
        <v>97</v>
      </c>
      <c r="BL301" t="s">
        <v>4935</v>
      </c>
      <c r="BM301" t="s">
        <v>4936</v>
      </c>
      <c r="BN301">
        <v>17075732</v>
      </c>
      <c r="BO301" t="s">
        <v>74</v>
      </c>
      <c r="BP301" t="s">
        <v>74</v>
      </c>
      <c r="BQ301" t="s">
        <v>74</v>
      </c>
      <c r="BR301" t="s">
        <v>100</v>
      </c>
      <c r="BS301" t="s">
        <v>4937</v>
      </c>
      <c r="BT301" t="str">
        <f>HYPERLINK("https%3A%2F%2Fwww.webofscience.com%2Fwos%2Fwoscc%2Ffull-record%2FWOS:000243908700001","View Full Record in Web of Science")</f>
        <v>View Full Record in Web of Science</v>
      </c>
    </row>
    <row r="302" spans="1:72" x14ac:dyDescent="0.15">
      <c r="A302" t="s">
        <v>72</v>
      </c>
      <c r="B302" t="s">
        <v>4938</v>
      </c>
      <c r="C302" t="s">
        <v>74</v>
      </c>
      <c r="D302" t="s">
        <v>74</v>
      </c>
      <c r="E302" t="s">
        <v>74</v>
      </c>
      <c r="F302" t="s">
        <v>4939</v>
      </c>
      <c r="G302" t="s">
        <v>74</v>
      </c>
      <c r="H302" t="s">
        <v>74</v>
      </c>
      <c r="I302" t="s">
        <v>4940</v>
      </c>
      <c r="J302" t="s">
        <v>4941</v>
      </c>
      <c r="K302" t="s">
        <v>74</v>
      </c>
      <c r="L302" t="s">
        <v>74</v>
      </c>
      <c r="M302" t="s">
        <v>78</v>
      </c>
      <c r="N302" t="s">
        <v>366</v>
      </c>
      <c r="O302" t="s">
        <v>74</v>
      </c>
      <c r="P302" t="s">
        <v>74</v>
      </c>
      <c r="Q302" t="s">
        <v>74</v>
      </c>
      <c r="R302" t="s">
        <v>74</v>
      </c>
      <c r="S302" t="s">
        <v>74</v>
      </c>
      <c r="T302" t="s">
        <v>74</v>
      </c>
      <c r="U302" t="s">
        <v>4942</v>
      </c>
      <c r="V302" t="s">
        <v>4943</v>
      </c>
      <c r="W302" t="s">
        <v>4944</v>
      </c>
      <c r="X302" t="s">
        <v>4945</v>
      </c>
      <c r="Y302" t="s">
        <v>4946</v>
      </c>
      <c r="Z302" t="s">
        <v>4947</v>
      </c>
      <c r="AA302" t="s">
        <v>4948</v>
      </c>
      <c r="AB302" t="s">
        <v>4949</v>
      </c>
      <c r="AC302" t="s">
        <v>74</v>
      </c>
      <c r="AD302" t="s">
        <v>74</v>
      </c>
      <c r="AE302" t="s">
        <v>74</v>
      </c>
      <c r="AF302" t="s">
        <v>74</v>
      </c>
      <c r="AG302">
        <v>105</v>
      </c>
      <c r="AH302">
        <v>18</v>
      </c>
      <c r="AI302">
        <v>18</v>
      </c>
      <c r="AJ302">
        <v>0</v>
      </c>
      <c r="AK302">
        <v>5</v>
      </c>
      <c r="AL302" t="s">
        <v>4950</v>
      </c>
      <c r="AM302" t="s">
        <v>4951</v>
      </c>
      <c r="AN302" t="s">
        <v>4952</v>
      </c>
      <c r="AO302" t="s">
        <v>4953</v>
      </c>
      <c r="AP302" t="s">
        <v>4954</v>
      </c>
      <c r="AQ302" t="s">
        <v>74</v>
      </c>
      <c r="AR302" t="s">
        <v>4941</v>
      </c>
      <c r="AS302" t="s">
        <v>4955</v>
      </c>
      <c r="AT302" t="s">
        <v>74</v>
      </c>
      <c r="AU302">
        <v>2007</v>
      </c>
      <c r="AV302">
        <v>53</v>
      </c>
      <c r="AW302">
        <v>6</v>
      </c>
      <c r="AX302" t="s">
        <v>74</v>
      </c>
      <c r="AY302" t="s">
        <v>74</v>
      </c>
      <c r="AZ302" t="s">
        <v>74</v>
      </c>
      <c r="BA302" t="s">
        <v>74</v>
      </c>
      <c r="BB302">
        <v>469</v>
      </c>
      <c r="BC302">
        <v>496</v>
      </c>
      <c r="BD302" t="s">
        <v>74</v>
      </c>
      <c r="BE302" t="s">
        <v>4956</v>
      </c>
      <c r="BF302" t="str">
        <f>HYPERLINK("http://dx.doi.org/10.2113/gsmicropal.53.6.469","http://dx.doi.org/10.2113/gsmicropal.53.6.469")</f>
        <v>http://dx.doi.org/10.2113/gsmicropal.53.6.469</v>
      </c>
      <c r="BG302" t="s">
        <v>74</v>
      </c>
      <c r="BH302" t="s">
        <v>74</v>
      </c>
      <c r="BI302">
        <v>28</v>
      </c>
      <c r="BJ302" t="s">
        <v>4957</v>
      </c>
      <c r="BK302" t="s">
        <v>97</v>
      </c>
      <c r="BL302" t="s">
        <v>4957</v>
      </c>
      <c r="BM302" t="s">
        <v>4958</v>
      </c>
      <c r="BN302" t="s">
        <v>74</v>
      </c>
      <c r="BO302" t="s">
        <v>74</v>
      </c>
      <c r="BP302" t="s">
        <v>74</v>
      </c>
      <c r="BQ302" t="s">
        <v>74</v>
      </c>
      <c r="BR302" t="s">
        <v>100</v>
      </c>
      <c r="BS302" t="s">
        <v>4959</v>
      </c>
      <c r="BT302" t="str">
        <f>HYPERLINK("https%3A%2F%2Fwww.webofscience.com%2Fwos%2Fwoscc%2Ffull-record%2FWOS:000254498100004","View Full Record in Web of Science")</f>
        <v>View Full Record in Web of Science</v>
      </c>
    </row>
    <row r="303" spans="1:72" x14ac:dyDescent="0.15">
      <c r="A303" t="s">
        <v>241</v>
      </c>
      <c r="B303" t="s">
        <v>4960</v>
      </c>
      <c r="C303" t="s">
        <v>74</v>
      </c>
      <c r="D303" t="s">
        <v>4961</v>
      </c>
      <c r="E303" t="s">
        <v>74</v>
      </c>
      <c r="F303" t="s">
        <v>4962</v>
      </c>
      <c r="G303" t="s">
        <v>74</v>
      </c>
      <c r="H303" t="s">
        <v>74</v>
      </c>
      <c r="I303" t="s">
        <v>4963</v>
      </c>
      <c r="J303" t="s">
        <v>4964</v>
      </c>
      <c r="K303" t="s">
        <v>3173</v>
      </c>
      <c r="L303" t="s">
        <v>74</v>
      </c>
      <c r="M303" t="s">
        <v>78</v>
      </c>
      <c r="N303" t="s">
        <v>248</v>
      </c>
      <c r="O303" t="s">
        <v>4965</v>
      </c>
      <c r="P303" t="s">
        <v>4966</v>
      </c>
      <c r="Q303" t="s">
        <v>4967</v>
      </c>
      <c r="R303" t="s">
        <v>74</v>
      </c>
      <c r="S303" t="s">
        <v>4968</v>
      </c>
      <c r="T303" t="s">
        <v>4969</v>
      </c>
      <c r="U303" t="s">
        <v>74</v>
      </c>
      <c r="V303" t="s">
        <v>4970</v>
      </c>
      <c r="W303" t="s">
        <v>4971</v>
      </c>
      <c r="X303" t="s">
        <v>3652</v>
      </c>
      <c r="Y303" t="s">
        <v>4972</v>
      </c>
      <c r="Z303" t="s">
        <v>4973</v>
      </c>
      <c r="AA303" t="s">
        <v>4974</v>
      </c>
      <c r="AB303" t="s">
        <v>74</v>
      </c>
      <c r="AC303" t="s">
        <v>74</v>
      </c>
      <c r="AD303" t="s">
        <v>74</v>
      </c>
      <c r="AE303" t="s">
        <v>74</v>
      </c>
      <c r="AF303" t="s">
        <v>74</v>
      </c>
      <c r="AG303">
        <v>6</v>
      </c>
      <c r="AH303">
        <v>3</v>
      </c>
      <c r="AI303">
        <v>3</v>
      </c>
      <c r="AJ303">
        <v>2</v>
      </c>
      <c r="AK303">
        <v>11</v>
      </c>
      <c r="AL303" t="s">
        <v>2124</v>
      </c>
      <c r="AM303" t="s">
        <v>2125</v>
      </c>
      <c r="AN303" t="s">
        <v>2126</v>
      </c>
      <c r="AO303" t="s">
        <v>2127</v>
      </c>
      <c r="AP303" t="s">
        <v>3183</v>
      </c>
      <c r="AQ303" t="s">
        <v>4975</v>
      </c>
      <c r="AR303" t="s">
        <v>3185</v>
      </c>
      <c r="AS303" t="s">
        <v>74</v>
      </c>
      <c r="AT303" t="s">
        <v>74</v>
      </c>
      <c r="AU303">
        <v>2007</v>
      </c>
      <c r="AV303">
        <v>6786</v>
      </c>
      <c r="AW303" t="s">
        <v>74</v>
      </c>
      <c r="AX303" t="s">
        <v>94</v>
      </c>
      <c r="AY303" t="s">
        <v>74</v>
      </c>
      <c r="AZ303" t="s">
        <v>74</v>
      </c>
      <c r="BA303" t="s">
        <v>74</v>
      </c>
      <c r="BB303" t="s">
        <v>74</v>
      </c>
      <c r="BC303" t="s">
        <v>74</v>
      </c>
      <c r="BD303" t="s">
        <v>4976</v>
      </c>
      <c r="BE303" t="s">
        <v>4977</v>
      </c>
      <c r="BF303" t="str">
        <f>HYPERLINK("http://dx.doi.org/10.1117/12.751177","http://dx.doi.org/10.1117/12.751177")</f>
        <v>http://dx.doi.org/10.1117/12.751177</v>
      </c>
      <c r="BG303" t="s">
        <v>74</v>
      </c>
      <c r="BH303" t="s">
        <v>74</v>
      </c>
      <c r="BI303">
        <v>10</v>
      </c>
      <c r="BJ303" t="s">
        <v>4978</v>
      </c>
      <c r="BK303" t="s">
        <v>266</v>
      </c>
      <c r="BL303" t="s">
        <v>4978</v>
      </c>
      <c r="BM303" t="s">
        <v>4979</v>
      </c>
      <c r="BN303" t="s">
        <v>74</v>
      </c>
      <c r="BO303" t="s">
        <v>74</v>
      </c>
      <c r="BP303" t="s">
        <v>74</v>
      </c>
      <c r="BQ303" t="s">
        <v>74</v>
      </c>
      <c r="BR303" t="s">
        <v>100</v>
      </c>
      <c r="BS303" t="s">
        <v>4980</v>
      </c>
      <c r="BT303" t="str">
        <f>HYPERLINK("https%3A%2F%2Fwww.webofscience.com%2Fwos%2Fwoscc%2Ffull-record%2FWOS:000253700100156","View Full Record in Web of Science")</f>
        <v>View Full Record in Web of Science</v>
      </c>
    </row>
    <row r="304" spans="1:72" x14ac:dyDescent="0.15">
      <c r="A304" t="s">
        <v>241</v>
      </c>
      <c r="B304" t="s">
        <v>4981</v>
      </c>
      <c r="C304" t="s">
        <v>74</v>
      </c>
      <c r="D304" t="s">
        <v>4982</v>
      </c>
      <c r="E304" t="s">
        <v>74</v>
      </c>
      <c r="F304" t="s">
        <v>4983</v>
      </c>
      <c r="G304" t="s">
        <v>74</v>
      </c>
      <c r="H304" t="s">
        <v>74</v>
      </c>
      <c r="I304" t="s">
        <v>4984</v>
      </c>
      <c r="J304" t="s">
        <v>4985</v>
      </c>
      <c r="K304" t="s">
        <v>74</v>
      </c>
      <c r="L304" t="s">
        <v>74</v>
      </c>
      <c r="M304" t="s">
        <v>78</v>
      </c>
      <c r="N304" t="s">
        <v>248</v>
      </c>
      <c r="O304" t="s">
        <v>4986</v>
      </c>
      <c r="P304" t="s">
        <v>4987</v>
      </c>
      <c r="Q304" t="s">
        <v>4988</v>
      </c>
      <c r="R304" t="s">
        <v>74</v>
      </c>
      <c r="S304" t="s">
        <v>74</v>
      </c>
      <c r="T304" t="s">
        <v>4989</v>
      </c>
      <c r="U304" t="s">
        <v>4990</v>
      </c>
      <c r="V304" t="s">
        <v>4991</v>
      </c>
      <c r="W304" t="s">
        <v>4992</v>
      </c>
      <c r="X304" t="s">
        <v>4993</v>
      </c>
      <c r="Y304" t="s">
        <v>4994</v>
      </c>
      <c r="Z304" t="s">
        <v>4995</v>
      </c>
      <c r="AA304" t="s">
        <v>4996</v>
      </c>
      <c r="AB304" t="s">
        <v>4997</v>
      </c>
      <c r="AC304" t="s">
        <v>4998</v>
      </c>
      <c r="AD304" t="s">
        <v>4999</v>
      </c>
      <c r="AE304" t="s">
        <v>5000</v>
      </c>
      <c r="AF304" t="s">
        <v>74</v>
      </c>
      <c r="AG304">
        <v>11</v>
      </c>
      <c r="AH304">
        <v>0</v>
      </c>
      <c r="AI304">
        <v>0</v>
      </c>
      <c r="AJ304">
        <v>0</v>
      </c>
      <c r="AK304">
        <v>2</v>
      </c>
      <c r="AL304" t="s">
        <v>5001</v>
      </c>
      <c r="AM304" t="s">
        <v>5002</v>
      </c>
      <c r="AN304" t="s">
        <v>5003</v>
      </c>
      <c r="AO304" t="s">
        <v>74</v>
      </c>
      <c r="AP304" t="s">
        <v>74</v>
      </c>
      <c r="AQ304" t="s">
        <v>5004</v>
      </c>
      <c r="AR304" t="s">
        <v>74</v>
      </c>
      <c r="AS304" t="s">
        <v>74</v>
      </c>
      <c r="AT304" t="s">
        <v>74</v>
      </c>
      <c r="AU304">
        <v>2007</v>
      </c>
      <c r="AV304" t="s">
        <v>74</v>
      </c>
      <c r="AW304" t="s">
        <v>74</v>
      </c>
      <c r="AX304" t="s">
        <v>74</v>
      </c>
      <c r="AY304" t="s">
        <v>74</v>
      </c>
      <c r="AZ304" t="s">
        <v>74</v>
      </c>
      <c r="BA304" t="s">
        <v>74</v>
      </c>
      <c r="BB304">
        <v>2793</v>
      </c>
      <c r="BC304">
        <v>2798</v>
      </c>
      <c r="BD304" t="s">
        <v>74</v>
      </c>
      <c r="BE304" t="s">
        <v>74</v>
      </c>
      <c r="BF304" t="s">
        <v>74</v>
      </c>
      <c r="BG304" t="s">
        <v>74</v>
      </c>
      <c r="BH304" t="s">
        <v>74</v>
      </c>
      <c r="BI304">
        <v>6</v>
      </c>
      <c r="BJ304" t="s">
        <v>5005</v>
      </c>
      <c r="BK304" t="s">
        <v>266</v>
      </c>
      <c r="BL304" t="s">
        <v>5006</v>
      </c>
      <c r="BM304" t="s">
        <v>5007</v>
      </c>
      <c r="BN304" t="s">
        <v>74</v>
      </c>
      <c r="BO304" t="s">
        <v>74</v>
      </c>
      <c r="BP304" t="s">
        <v>74</v>
      </c>
      <c r="BQ304" t="s">
        <v>74</v>
      </c>
      <c r="BR304" t="s">
        <v>100</v>
      </c>
      <c r="BS304" t="s">
        <v>5008</v>
      </c>
      <c r="BT304" t="str">
        <f>HYPERLINK("https%3A%2F%2Fwww.webofscience.com%2Fwos%2Fwoscc%2Ffull-record%2FWOS:000290030702123","View Full Record in Web of Science")</f>
        <v>View Full Record in Web of Science</v>
      </c>
    </row>
    <row r="305" spans="1:72" x14ac:dyDescent="0.15">
      <c r="A305" t="s">
        <v>72</v>
      </c>
      <c r="B305" t="s">
        <v>5009</v>
      </c>
      <c r="C305" t="s">
        <v>74</v>
      </c>
      <c r="D305" t="s">
        <v>74</v>
      </c>
      <c r="E305" t="s">
        <v>74</v>
      </c>
      <c r="F305" t="s">
        <v>5010</v>
      </c>
      <c r="G305" t="s">
        <v>74</v>
      </c>
      <c r="H305" t="s">
        <v>74</v>
      </c>
      <c r="I305" t="s">
        <v>5011</v>
      </c>
      <c r="J305" t="s">
        <v>5012</v>
      </c>
      <c r="K305" t="s">
        <v>74</v>
      </c>
      <c r="L305" t="s">
        <v>74</v>
      </c>
      <c r="M305" t="s">
        <v>78</v>
      </c>
      <c r="N305" t="s">
        <v>79</v>
      </c>
      <c r="O305" t="s">
        <v>74</v>
      </c>
      <c r="P305" t="s">
        <v>74</v>
      </c>
      <c r="Q305" t="s">
        <v>74</v>
      </c>
      <c r="R305" t="s">
        <v>74</v>
      </c>
      <c r="S305" t="s">
        <v>74</v>
      </c>
      <c r="T305" t="s">
        <v>5013</v>
      </c>
      <c r="U305" t="s">
        <v>5014</v>
      </c>
      <c r="V305" t="s">
        <v>5015</v>
      </c>
      <c r="W305" t="s">
        <v>5016</v>
      </c>
      <c r="X305" t="s">
        <v>5017</v>
      </c>
      <c r="Y305" t="s">
        <v>5018</v>
      </c>
      <c r="Z305" t="s">
        <v>5019</v>
      </c>
      <c r="AA305" t="s">
        <v>5020</v>
      </c>
      <c r="AB305" t="s">
        <v>5021</v>
      </c>
      <c r="AC305" t="s">
        <v>74</v>
      </c>
      <c r="AD305" t="s">
        <v>74</v>
      </c>
      <c r="AE305" t="s">
        <v>74</v>
      </c>
      <c r="AF305" t="s">
        <v>74</v>
      </c>
      <c r="AG305">
        <v>63</v>
      </c>
      <c r="AH305">
        <v>51</v>
      </c>
      <c r="AI305">
        <v>52</v>
      </c>
      <c r="AJ305">
        <v>1</v>
      </c>
      <c r="AK305">
        <v>32</v>
      </c>
      <c r="AL305" t="s">
        <v>5022</v>
      </c>
      <c r="AM305" t="s">
        <v>5023</v>
      </c>
      <c r="AN305" t="s">
        <v>5024</v>
      </c>
      <c r="AO305" t="s">
        <v>5025</v>
      </c>
      <c r="AP305" t="s">
        <v>74</v>
      </c>
      <c r="AQ305" t="s">
        <v>74</v>
      </c>
      <c r="AR305" t="s">
        <v>5012</v>
      </c>
      <c r="AS305" t="s">
        <v>5026</v>
      </c>
      <c r="AT305" t="s">
        <v>74</v>
      </c>
      <c r="AU305">
        <v>2007</v>
      </c>
      <c r="AV305">
        <v>9</v>
      </c>
      <c r="AW305" t="s">
        <v>74</v>
      </c>
      <c r="AX305">
        <v>2</v>
      </c>
      <c r="AY305" t="s">
        <v>74</v>
      </c>
      <c r="AZ305" t="s">
        <v>74</v>
      </c>
      <c r="BA305" t="s">
        <v>74</v>
      </c>
      <c r="BB305">
        <v>271</v>
      </c>
      <c r="BC305">
        <v>284</v>
      </c>
      <c r="BD305" t="s">
        <v>74</v>
      </c>
      <c r="BE305" t="s">
        <v>5027</v>
      </c>
      <c r="BF305" t="str">
        <f>HYPERLINK("http://dx.doi.org/10.1163/156854107780739117","http://dx.doi.org/10.1163/156854107780739117")</f>
        <v>http://dx.doi.org/10.1163/156854107780739117</v>
      </c>
      <c r="BG305" t="s">
        <v>74</v>
      </c>
      <c r="BH305" t="s">
        <v>74</v>
      </c>
      <c r="BI305">
        <v>14</v>
      </c>
      <c r="BJ305" t="s">
        <v>596</v>
      </c>
      <c r="BK305" t="s">
        <v>97</v>
      </c>
      <c r="BL305" t="s">
        <v>596</v>
      </c>
      <c r="BM305" t="s">
        <v>5028</v>
      </c>
      <c r="BN305" t="s">
        <v>74</v>
      </c>
      <c r="BO305" t="s">
        <v>74</v>
      </c>
      <c r="BP305" t="s">
        <v>74</v>
      </c>
      <c r="BQ305" t="s">
        <v>74</v>
      </c>
      <c r="BR305" t="s">
        <v>100</v>
      </c>
      <c r="BS305" t="s">
        <v>5029</v>
      </c>
      <c r="BT305" t="str">
        <f>HYPERLINK("https%3A%2F%2Fwww.webofscience.com%2Fwos%2Fwoscc%2Ffull-record%2FWOS:000248540200012","View Full Record in Web of Science")</f>
        <v>View Full Record in Web of Science</v>
      </c>
    </row>
    <row r="306" spans="1:72" x14ac:dyDescent="0.15">
      <c r="A306" t="s">
        <v>72</v>
      </c>
      <c r="B306" t="s">
        <v>5030</v>
      </c>
      <c r="C306" t="s">
        <v>74</v>
      </c>
      <c r="D306" t="s">
        <v>74</v>
      </c>
      <c r="E306" t="s">
        <v>74</v>
      </c>
      <c r="F306" t="s">
        <v>5031</v>
      </c>
      <c r="G306" t="s">
        <v>74</v>
      </c>
      <c r="H306" t="s">
        <v>74</v>
      </c>
      <c r="I306" t="s">
        <v>5032</v>
      </c>
      <c r="J306" t="s">
        <v>5033</v>
      </c>
      <c r="K306" t="s">
        <v>74</v>
      </c>
      <c r="L306" t="s">
        <v>74</v>
      </c>
      <c r="M306" t="s">
        <v>78</v>
      </c>
      <c r="N306" t="s">
        <v>5034</v>
      </c>
      <c r="O306" t="s">
        <v>74</v>
      </c>
      <c r="P306" t="s">
        <v>74</v>
      </c>
      <c r="Q306" t="s">
        <v>74</v>
      </c>
      <c r="R306" t="s">
        <v>74</v>
      </c>
      <c r="S306" t="s">
        <v>74</v>
      </c>
      <c r="T306" t="s">
        <v>74</v>
      </c>
      <c r="U306" t="s">
        <v>74</v>
      </c>
      <c r="V306" t="s">
        <v>74</v>
      </c>
      <c r="W306" t="s">
        <v>5035</v>
      </c>
      <c r="X306" t="s">
        <v>5036</v>
      </c>
      <c r="Y306" t="s">
        <v>5037</v>
      </c>
      <c r="Z306" t="s">
        <v>74</v>
      </c>
      <c r="AA306" t="s">
        <v>74</v>
      </c>
      <c r="AB306" t="s">
        <v>74</v>
      </c>
      <c r="AC306" t="s">
        <v>74</v>
      </c>
      <c r="AD306" t="s">
        <v>74</v>
      </c>
      <c r="AE306" t="s">
        <v>74</v>
      </c>
      <c r="AF306" t="s">
        <v>74</v>
      </c>
      <c r="AG306">
        <v>0</v>
      </c>
      <c r="AH306">
        <v>0</v>
      </c>
      <c r="AI306">
        <v>0</v>
      </c>
      <c r="AJ306">
        <v>0</v>
      </c>
      <c r="AK306">
        <v>0</v>
      </c>
      <c r="AL306" t="s">
        <v>5038</v>
      </c>
      <c r="AM306" t="s">
        <v>5039</v>
      </c>
      <c r="AN306" t="s">
        <v>5040</v>
      </c>
      <c r="AO306" t="s">
        <v>5041</v>
      </c>
      <c r="AP306" t="s">
        <v>74</v>
      </c>
      <c r="AQ306" t="s">
        <v>74</v>
      </c>
      <c r="AR306" t="s">
        <v>5042</v>
      </c>
      <c r="AS306" t="s">
        <v>5043</v>
      </c>
      <c r="AT306" t="s">
        <v>74</v>
      </c>
      <c r="AU306">
        <v>2007</v>
      </c>
      <c r="AV306">
        <v>28</v>
      </c>
      <c r="AW306">
        <v>4</v>
      </c>
      <c r="AX306" t="s">
        <v>74</v>
      </c>
      <c r="AY306" t="s">
        <v>74</v>
      </c>
      <c r="AZ306" t="s">
        <v>74</v>
      </c>
      <c r="BA306" t="s">
        <v>74</v>
      </c>
      <c r="BB306">
        <v>53</v>
      </c>
      <c r="BC306">
        <v>53</v>
      </c>
      <c r="BD306" t="s">
        <v>74</v>
      </c>
      <c r="BE306" t="s">
        <v>74</v>
      </c>
      <c r="BF306" t="s">
        <v>74</v>
      </c>
      <c r="BG306" t="s">
        <v>74</v>
      </c>
      <c r="BH306" t="s">
        <v>74</v>
      </c>
      <c r="BI306">
        <v>1</v>
      </c>
      <c r="BJ306" t="s">
        <v>5044</v>
      </c>
      <c r="BK306" t="s">
        <v>5045</v>
      </c>
      <c r="BL306" t="s">
        <v>5046</v>
      </c>
      <c r="BM306" t="s">
        <v>5047</v>
      </c>
      <c r="BN306" t="s">
        <v>74</v>
      </c>
      <c r="BO306" t="s">
        <v>74</v>
      </c>
      <c r="BP306" t="s">
        <v>74</v>
      </c>
      <c r="BQ306" t="s">
        <v>74</v>
      </c>
      <c r="BR306" t="s">
        <v>100</v>
      </c>
      <c r="BS306" t="s">
        <v>5048</v>
      </c>
      <c r="BT306" t="str">
        <f>HYPERLINK("https%3A%2F%2Fwww.webofscience.com%2Fwos%2Fwoscc%2Ffull-record%2FWOS:000252137900015","View Full Record in Web of Science")</f>
        <v>View Full Record in Web of Science</v>
      </c>
    </row>
    <row r="307" spans="1:72" x14ac:dyDescent="0.15">
      <c r="A307" t="s">
        <v>72</v>
      </c>
      <c r="B307" t="s">
        <v>5049</v>
      </c>
      <c r="C307" t="s">
        <v>74</v>
      </c>
      <c r="D307" t="s">
        <v>74</v>
      </c>
      <c r="E307" t="s">
        <v>74</v>
      </c>
      <c r="F307" t="s">
        <v>5050</v>
      </c>
      <c r="G307" t="s">
        <v>74</v>
      </c>
      <c r="H307" t="s">
        <v>74</v>
      </c>
      <c r="I307" t="s">
        <v>5051</v>
      </c>
      <c r="J307" t="s">
        <v>5052</v>
      </c>
      <c r="K307" t="s">
        <v>74</v>
      </c>
      <c r="L307" t="s">
        <v>74</v>
      </c>
      <c r="M307" t="s">
        <v>78</v>
      </c>
      <c r="N307" t="s">
        <v>79</v>
      </c>
      <c r="O307" t="s">
        <v>74</v>
      </c>
      <c r="P307" t="s">
        <v>74</v>
      </c>
      <c r="Q307" t="s">
        <v>74</v>
      </c>
      <c r="R307" t="s">
        <v>74</v>
      </c>
      <c r="S307" t="s">
        <v>74</v>
      </c>
      <c r="T307" t="s">
        <v>5053</v>
      </c>
      <c r="U307" t="s">
        <v>5054</v>
      </c>
      <c r="V307" t="s">
        <v>5055</v>
      </c>
      <c r="W307" t="s">
        <v>5056</v>
      </c>
      <c r="X307" t="s">
        <v>5057</v>
      </c>
      <c r="Y307" t="s">
        <v>5058</v>
      </c>
      <c r="Z307" t="s">
        <v>5059</v>
      </c>
      <c r="AA307" t="s">
        <v>5060</v>
      </c>
      <c r="AB307" t="s">
        <v>74</v>
      </c>
      <c r="AC307" t="s">
        <v>74</v>
      </c>
      <c r="AD307" t="s">
        <v>74</v>
      </c>
      <c r="AE307" t="s">
        <v>74</v>
      </c>
      <c r="AF307" t="s">
        <v>74</v>
      </c>
      <c r="AG307">
        <v>28</v>
      </c>
      <c r="AH307">
        <v>51</v>
      </c>
      <c r="AI307">
        <v>57</v>
      </c>
      <c r="AJ307">
        <v>0</v>
      </c>
      <c r="AK307">
        <v>19</v>
      </c>
      <c r="AL307" t="s">
        <v>159</v>
      </c>
      <c r="AM307" t="s">
        <v>160</v>
      </c>
      <c r="AN307" t="s">
        <v>161</v>
      </c>
      <c r="AO307" t="s">
        <v>5061</v>
      </c>
      <c r="AP307" t="s">
        <v>5062</v>
      </c>
      <c r="AQ307" t="s">
        <v>74</v>
      </c>
      <c r="AR307" t="s">
        <v>5063</v>
      </c>
      <c r="AS307" t="s">
        <v>5064</v>
      </c>
      <c r="AT307" t="s">
        <v>74</v>
      </c>
      <c r="AU307">
        <v>2007</v>
      </c>
      <c r="AV307">
        <v>176</v>
      </c>
      <c r="AW307">
        <v>2</v>
      </c>
      <c r="AX307" t="s">
        <v>74</v>
      </c>
      <c r="AY307" t="s">
        <v>74</v>
      </c>
      <c r="AZ307" t="s">
        <v>74</v>
      </c>
      <c r="BA307" t="s">
        <v>74</v>
      </c>
      <c r="BB307">
        <v>460</v>
      </c>
      <c r="BC307">
        <v>471</v>
      </c>
      <c r="BD307" t="s">
        <v>74</v>
      </c>
      <c r="BE307" t="s">
        <v>5065</v>
      </c>
      <c r="BF307" t="str">
        <f>HYPERLINK("http://dx.doi.org/10.1111/j.1469-8137.2007.02178.x","http://dx.doi.org/10.1111/j.1469-8137.2007.02178.x")</f>
        <v>http://dx.doi.org/10.1111/j.1469-8137.2007.02178.x</v>
      </c>
      <c r="BG307" t="s">
        <v>74</v>
      </c>
      <c r="BH307" t="s">
        <v>74</v>
      </c>
      <c r="BI307">
        <v>12</v>
      </c>
      <c r="BJ307" t="s">
        <v>576</v>
      </c>
      <c r="BK307" t="s">
        <v>97</v>
      </c>
      <c r="BL307" t="s">
        <v>576</v>
      </c>
      <c r="BM307" t="s">
        <v>5066</v>
      </c>
      <c r="BN307">
        <v>17888123</v>
      </c>
      <c r="BO307" t="s">
        <v>4658</v>
      </c>
      <c r="BP307" t="s">
        <v>74</v>
      </c>
      <c r="BQ307" t="s">
        <v>74</v>
      </c>
      <c r="BR307" t="s">
        <v>100</v>
      </c>
      <c r="BS307" t="s">
        <v>5067</v>
      </c>
      <c r="BT307" t="str">
        <f>HYPERLINK("https%3A%2F%2Fwww.webofscience.com%2Fwos%2Fwoscc%2Ffull-record%2FWOS:000249846300022","View Full Record in Web of Science")</f>
        <v>View Full Record in Web of Science</v>
      </c>
    </row>
    <row r="308" spans="1:72" x14ac:dyDescent="0.15">
      <c r="A308" t="s">
        <v>72</v>
      </c>
      <c r="B308" t="s">
        <v>5068</v>
      </c>
      <c r="C308" t="s">
        <v>74</v>
      </c>
      <c r="D308" t="s">
        <v>74</v>
      </c>
      <c r="E308" t="s">
        <v>74</v>
      </c>
      <c r="F308" t="s">
        <v>5069</v>
      </c>
      <c r="G308" t="s">
        <v>74</v>
      </c>
      <c r="H308" t="s">
        <v>74</v>
      </c>
      <c r="I308" t="s">
        <v>5070</v>
      </c>
      <c r="J308" t="s">
        <v>5052</v>
      </c>
      <c r="K308" t="s">
        <v>74</v>
      </c>
      <c r="L308" t="s">
        <v>74</v>
      </c>
      <c r="M308" t="s">
        <v>78</v>
      </c>
      <c r="N308" t="s">
        <v>79</v>
      </c>
      <c r="O308" t="s">
        <v>74</v>
      </c>
      <c r="P308" t="s">
        <v>74</v>
      </c>
      <c r="Q308" t="s">
        <v>74</v>
      </c>
      <c r="R308" t="s">
        <v>74</v>
      </c>
      <c r="S308" t="s">
        <v>74</v>
      </c>
      <c r="T308" t="s">
        <v>5071</v>
      </c>
      <c r="U308" t="s">
        <v>5072</v>
      </c>
      <c r="V308" t="s">
        <v>5073</v>
      </c>
      <c r="W308" t="s">
        <v>5074</v>
      </c>
      <c r="X308" t="s">
        <v>5075</v>
      </c>
      <c r="Y308" t="s">
        <v>5076</v>
      </c>
      <c r="Z308" t="s">
        <v>5077</v>
      </c>
      <c r="AA308" t="s">
        <v>5078</v>
      </c>
      <c r="AB308" t="s">
        <v>5079</v>
      </c>
      <c r="AC308" t="s">
        <v>74</v>
      </c>
      <c r="AD308" t="s">
        <v>74</v>
      </c>
      <c r="AE308" t="s">
        <v>74</v>
      </c>
      <c r="AF308" t="s">
        <v>74</v>
      </c>
      <c r="AG308">
        <v>62</v>
      </c>
      <c r="AH308">
        <v>155</v>
      </c>
      <c r="AI308">
        <v>174</v>
      </c>
      <c r="AJ308">
        <v>1</v>
      </c>
      <c r="AK308">
        <v>52</v>
      </c>
      <c r="AL308" t="s">
        <v>159</v>
      </c>
      <c r="AM308" t="s">
        <v>160</v>
      </c>
      <c r="AN308" t="s">
        <v>161</v>
      </c>
      <c r="AO308" t="s">
        <v>5061</v>
      </c>
      <c r="AP308" t="s">
        <v>5062</v>
      </c>
      <c r="AQ308" t="s">
        <v>74</v>
      </c>
      <c r="AR308" t="s">
        <v>5063</v>
      </c>
      <c r="AS308" t="s">
        <v>5064</v>
      </c>
      <c r="AT308" t="s">
        <v>74</v>
      </c>
      <c r="AU308">
        <v>2007</v>
      </c>
      <c r="AV308">
        <v>174</v>
      </c>
      <c r="AW308">
        <v>2</v>
      </c>
      <c r="AX308" t="s">
        <v>74</v>
      </c>
      <c r="AY308" t="s">
        <v>74</v>
      </c>
      <c r="AZ308" t="s">
        <v>74</v>
      </c>
      <c r="BA308" t="s">
        <v>74</v>
      </c>
      <c r="BB308">
        <v>367</v>
      </c>
      <c r="BC308">
        <v>380</v>
      </c>
      <c r="BD308" t="s">
        <v>74</v>
      </c>
      <c r="BE308" t="s">
        <v>5080</v>
      </c>
      <c r="BF308" t="str">
        <f>HYPERLINK("http://dx.doi.org/10.1111/j.1469-8137.2007.02011.x","http://dx.doi.org/10.1111/j.1469-8137.2007.02011.x")</f>
        <v>http://dx.doi.org/10.1111/j.1469-8137.2007.02011.x</v>
      </c>
      <c r="BG308" t="s">
        <v>74</v>
      </c>
      <c r="BH308" t="s">
        <v>74</v>
      </c>
      <c r="BI308">
        <v>14</v>
      </c>
      <c r="BJ308" t="s">
        <v>576</v>
      </c>
      <c r="BK308" t="s">
        <v>97</v>
      </c>
      <c r="BL308" t="s">
        <v>576</v>
      </c>
      <c r="BM308" t="s">
        <v>5081</v>
      </c>
      <c r="BN308">
        <v>17388899</v>
      </c>
      <c r="BO308" t="s">
        <v>1384</v>
      </c>
      <c r="BP308" t="s">
        <v>74</v>
      </c>
      <c r="BQ308" t="s">
        <v>74</v>
      </c>
      <c r="BR308" t="s">
        <v>100</v>
      </c>
      <c r="BS308" t="s">
        <v>5082</v>
      </c>
      <c r="BT308" t="str">
        <f>HYPERLINK("https%3A%2F%2Fwww.webofscience.com%2Fwos%2Fwoscc%2Ffull-record%2FWOS:000245413900019","View Full Record in Web of Science")</f>
        <v>View Full Record in Web of Science</v>
      </c>
    </row>
    <row r="309" spans="1:72" x14ac:dyDescent="0.15">
      <c r="A309" t="s">
        <v>888</v>
      </c>
      <c r="B309" t="s">
        <v>5083</v>
      </c>
      <c r="C309" t="s">
        <v>74</v>
      </c>
      <c r="D309" t="s">
        <v>5084</v>
      </c>
      <c r="E309" t="s">
        <v>74</v>
      </c>
      <c r="F309" t="s">
        <v>5085</v>
      </c>
      <c r="G309" t="s">
        <v>74</v>
      </c>
      <c r="H309" t="s">
        <v>74</v>
      </c>
      <c r="I309" t="s">
        <v>5086</v>
      </c>
      <c r="J309" t="s">
        <v>5087</v>
      </c>
      <c r="K309" t="s">
        <v>5088</v>
      </c>
      <c r="L309" t="s">
        <v>74</v>
      </c>
      <c r="M309" t="s">
        <v>78</v>
      </c>
      <c r="N309" t="s">
        <v>219</v>
      </c>
      <c r="O309" t="s">
        <v>74</v>
      </c>
      <c r="P309" t="s">
        <v>74</v>
      </c>
      <c r="Q309" t="s">
        <v>74</v>
      </c>
      <c r="R309" t="s">
        <v>74</v>
      </c>
      <c r="S309" t="s">
        <v>74</v>
      </c>
      <c r="T309" t="s">
        <v>5089</v>
      </c>
      <c r="U309" t="s">
        <v>5090</v>
      </c>
      <c r="V309" t="s">
        <v>5091</v>
      </c>
      <c r="W309" t="s">
        <v>5092</v>
      </c>
      <c r="X309" t="s">
        <v>5093</v>
      </c>
      <c r="Y309" t="s">
        <v>5094</v>
      </c>
      <c r="Z309" t="s">
        <v>5095</v>
      </c>
      <c r="AA309" t="s">
        <v>74</v>
      </c>
      <c r="AB309" t="s">
        <v>5096</v>
      </c>
      <c r="AC309" t="s">
        <v>74</v>
      </c>
      <c r="AD309" t="s">
        <v>74</v>
      </c>
      <c r="AE309" t="s">
        <v>74</v>
      </c>
      <c r="AF309" t="s">
        <v>74</v>
      </c>
      <c r="AG309">
        <v>107</v>
      </c>
      <c r="AH309">
        <v>8</v>
      </c>
      <c r="AI309">
        <v>8</v>
      </c>
      <c r="AJ309">
        <v>0</v>
      </c>
      <c r="AK309">
        <v>4</v>
      </c>
      <c r="AL309" t="s">
        <v>5097</v>
      </c>
      <c r="AM309" t="s">
        <v>903</v>
      </c>
      <c r="AN309" t="s">
        <v>5098</v>
      </c>
      <c r="AO309" t="s">
        <v>5099</v>
      </c>
      <c r="AP309" t="s">
        <v>74</v>
      </c>
      <c r="AQ309" t="s">
        <v>5100</v>
      </c>
      <c r="AR309" t="s">
        <v>5101</v>
      </c>
      <c r="AS309" t="s">
        <v>74</v>
      </c>
      <c r="AT309" t="s">
        <v>74</v>
      </c>
      <c r="AU309">
        <v>2007</v>
      </c>
      <c r="AV309">
        <v>1</v>
      </c>
      <c r="AW309" t="s">
        <v>74</v>
      </c>
      <c r="AX309" t="s">
        <v>74</v>
      </c>
      <c r="AY309" t="s">
        <v>74</v>
      </c>
      <c r="AZ309" t="s">
        <v>74</v>
      </c>
      <c r="BA309" t="s">
        <v>74</v>
      </c>
      <c r="BB309">
        <v>293</v>
      </c>
      <c r="BC309">
        <v>310</v>
      </c>
      <c r="BD309" t="s">
        <v>74</v>
      </c>
      <c r="BE309" t="s">
        <v>5102</v>
      </c>
      <c r="BF309" t="str">
        <f>HYPERLINK("http://dx.doi.org/10.1016/S1872-2423(07)01013-7","http://dx.doi.org/10.1016/S1872-2423(07)01013-7")</f>
        <v>http://dx.doi.org/10.1016/S1872-2423(07)01013-7</v>
      </c>
      <c r="BG309" t="s">
        <v>74</v>
      </c>
      <c r="BH309" t="s">
        <v>74</v>
      </c>
      <c r="BI309">
        <v>18</v>
      </c>
      <c r="BJ309" t="s">
        <v>5103</v>
      </c>
      <c r="BK309" t="s">
        <v>238</v>
      </c>
      <c r="BL309" t="s">
        <v>5104</v>
      </c>
      <c r="BM309" t="s">
        <v>5105</v>
      </c>
      <c r="BN309" t="s">
        <v>74</v>
      </c>
      <c r="BO309" t="s">
        <v>74</v>
      </c>
      <c r="BP309" t="s">
        <v>74</v>
      </c>
      <c r="BQ309" t="s">
        <v>74</v>
      </c>
      <c r="BR309" t="s">
        <v>100</v>
      </c>
      <c r="BS309" t="s">
        <v>5106</v>
      </c>
      <c r="BT309" t="str">
        <f>HYPERLINK("https%3A%2F%2Fwww.webofscience.com%2Fwos%2Fwoscc%2Ffull-record%2FWOS:000311536600014","View Full Record in Web of Science")</f>
        <v>View Full Record in Web of Science</v>
      </c>
    </row>
    <row r="310" spans="1:72" x14ac:dyDescent="0.15">
      <c r="A310" t="s">
        <v>888</v>
      </c>
      <c r="B310" t="s">
        <v>5107</v>
      </c>
      <c r="C310" t="s">
        <v>74</v>
      </c>
      <c r="D310" t="s">
        <v>5084</v>
      </c>
      <c r="E310" t="s">
        <v>74</v>
      </c>
      <c r="F310" t="s">
        <v>5108</v>
      </c>
      <c r="G310" t="s">
        <v>74</v>
      </c>
      <c r="H310" t="s">
        <v>74</v>
      </c>
      <c r="I310" t="s">
        <v>5109</v>
      </c>
      <c r="J310" t="s">
        <v>5087</v>
      </c>
      <c r="K310" t="s">
        <v>5088</v>
      </c>
      <c r="L310" t="s">
        <v>74</v>
      </c>
      <c r="M310" t="s">
        <v>78</v>
      </c>
      <c r="N310" t="s">
        <v>219</v>
      </c>
      <c r="O310" t="s">
        <v>74</v>
      </c>
      <c r="P310" t="s">
        <v>74</v>
      </c>
      <c r="Q310" t="s">
        <v>74</v>
      </c>
      <c r="R310" t="s">
        <v>74</v>
      </c>
      <c r="S310" t="s">
        <v>74</v>
      </c>
      <c r="T310" t="s">
        <v>5110</v>
      </c>
      <c r="U310" t="s">
        <v>5111</v>
      </c>
      <c r="V310" t="s">
        <v>5112</v>
      </c>
      <c r="W310" t="s">
        <v>5113</v>
      </c>
      <c r="X310" t="s">
        <v>5114</v>
      </c>
      <c r="Y310" t="s">
        <v>5115</v>
      </c>
      <c r="Z310" t="s">
        <v>5116</v>
      </c>
      <c r="AA310" t="s">
        <v>5117</v>
      </c>
      <c r="AB310" t="s">
        <v>5118</v>
      </c>
      <c r="AC310" t="s">
        <v>74</v>
      </c>
      <c r="AD310" t="s">
        <v>74</v>
      </c>
      <c r="AE310" t="s">
        <v>74</v>
      </c>
      <c r="AF310" t="s">
        <v>74</v>
      </c>
      <c r="AG310">
        <v>95</v>
      </c>
      <c r="AH310">
        <v>5</v>
      </c>
      <c r="AI310">
        <v>5</v>
      </c>
      <c r="AJ310">
        <v>1</v>
      </c>
      <c r="AK310">
        <v>6</v>
      </c>
      <c r="AL310" t="s">
        <v>5097</v>
      </c>
      <c r="AM310" t="s">
        <v>903</v>
      </c>
      <c r="AN310" t="s">
        <v>5098</v>
      </c>
      <c r="AO310" t="s">
        <v>5099</v>
      </c>
      <c r="AP310" t="s">
        <v>74</v>
      </c>
      <c r="AQ310" t="s">
        <v>5100</v>
      </c>
      <c r="AR310" t="s">
        <v>5101</v>
      </c>
      <c r="AS310" t="s">
        <v>74</v>
      </c>
      <c r="AT310" t="s">
        <v>74</v>
      </c>
      <c r="AU310">
        <v>2007</v>
      </c>
      <c r="AV310">
        <v>1</v>
      </c>
      <c r="AW310" t="s">
        <v>74</v>
      </c>
      <c r="AX310" t="s">
        <v>74</v>
      </c>
      <c r="AY310" t="s">
        <v>74</v>
      </c>
      <c r="AZ310" t="s">
        <v>74</v>
      </c>
      <c r="BA310" t="s">
        <v>74</v>
      </c>
      <c r="BB310">
        <v>311</v>
      </c>
      <c r="BC310">
        <v>338</v>
      </c>
      <c r="BD310" t="s">
        <v>74</v>
      </c>
      <c r="BE310" t="s">
        <v>5119</v>
      </c>
      <c r="BF310" t="str">
        <f>HYPERLINK("http://dx.doi.org/10.1016/S1872-2423(07)01014-9","http://dx.doi.org/10.1016/S1872-2423(07)01014-9")</f>
        <v>http://dx.doi.org/10.1016/S1872-2423(07)01014-9</v>
      </c>
      <c r="BG310" t="s">
        <v>74</v>
      </c>
      <c r="BH310" t="s">
        <v>74</v>
      </c>
      <c r="BI310">
        <v>28</v>
      </c>
      <c r="BJ310" t="s">
        <v>5103</v>
      </c>
      <c r="BK310" t="s">
        <v>238</v>
      </c>
      <c r="BL310" t="s">
        <v>5104</v>
      </c>
      <c r="BM310" t="s">
        <v>5105</v>
      </c>
      <c r="BN310" t="s">
        <v>74</v>
      </c>
      <c r="BO310" t="s">
        <v>74</v>
      </c>
      <c r="BP310" t="s">
        <v>74</v>
      </c>
      <c r="BQ310" t="s">
        <v>74</v>
      </c>
      <c r="BR310" t="s">
        <v>100</v>
      </c>
      <c r="BS310" t="s">
        <v>5120</v>
      </c>
      <c r="BT310" t="str">
        <f>HYPERLINK("https%3A%2F%2Fwww.webofscience.com%2Fwos%2Fwoscc%2Ffull-record%2FWOS:000311536600015","View Full Record in Web of Science")</f>
        <v>View Full Record in Web of Science</v>
      </c>
    </row>
    <row r="311" spans="1:72" x14ac:dyDescent="0.15">
      <c r="A311" t="s">
        <v>72</v>
      </c>
      <c r="B311" t="s">
        <v>5121</v>
      </c>
      <c r="C311" t="s">
        <v>74</v>
      </c>
      <c r="D311" t="s">
        <v>74</v>
      </c>
      <c r="E311" t="s">
        <v>74</v>
      </c>
      <c r="F311" t="s">
        <v>5122</v>
      </c>
      <c r="G311" t="s">
        <v>74</v>
      </c>
      <c r="H311" t="s">
        <v>74</v>
      </c>
      <c r="I311" t="s">
        <v>5123</v>
      </c>
      <c r="J311" t="s">
        <v>5124</v>
      </c>
      <c r="K311" t="s">
        <v>74</v>
      </c>
      <c r="L311" t="s">
        <v>74</v>
      </c>
      <c r="M311" t="s">
        <v>78</v>
      </c>
      <c r="N311" t="s">
        <v>79</v>
      </c>
      <c r="O311" t="s">
        <v>74</v>
      </c>
      <c r="P311" t="s">
        <v>74</v>
      </c>
      <c r="Q311" t="s">
        <v>74</v>
      </c>
      <c r="R311" t="s">
        <v>74</v>
      </c>
      <c r="S311" t="s">
        <v>74</v>
      </c>
      <c r="T311" t="s">
        <v>74</v>
      </c>
      <c r="U311" t="s">
        <v>5125</v>
      </c>
      <c r="V311" t="s">
        <v>5126</v>
      </c>
      <c r="W311" t="s">
        <v>5127</v>
      </c>
      <c r="X311" t="s">
        <v>5128</v>
      </c>
      <c r="Y311" t="s">
        <v>5129</v>
      </c>
      <c r="Z311" t="s">
        <v>5130</v>
      </c>
      <c r="AA311" t="s">
        <v>5131</v>
      </c>
      <c r="AB311" t="s">
        <v>74</v>
      </c>
      <c r="AC311" t="s">
        <v>74</v>
      </c>
      <c r="AD311" t="s">
        <v>74</v>
      </c>
      <c r="AE311" t="s">
        <v>74</v>
      </c>
      <c r="AF311" t="s">
        <v>74</v>
      </c>
      <c r="AG311">
        <v>30</v>
      </c>
      <c r="AH311">
        <v>2</v>
      </c>
      <c r="AI311">
        <v>2</v>
      </c>
      <c r="AJ311">
        <v>0</v>
      </c>
      <c r="AK311">
        <v>1</v>
      </c>
      <c r="AL311" t="s">
        <v>351</v>
      </c>
      <c r="AM311" t="s">
        <v>352</v>
      </c>
      <c r="AN311" t="s">
        <v>353</v>
      </c>
      <c r="AO311" t="s">
        <v>5132</v>
      </c>
      <c r="AP311" t="s">
        <v>5133</v>
      </c>
      <c r="AQ311" t="s">
        <v>74</v>
      </c>
      <c r="AR311" t="s">
        <v>5134</v>
      </c>
      <c r="AS311" t="s">
        <v>5135</v>
      </c>
      <c r="AT311" t="s">
        <v>74</v>
      </c>
      <c r="AU311">
        <v>2007</v>
      </c>
      <c r="AV311">
        <v>14</v>
      </c>
      <c r="AW311">
        <v>2</v>
      </c>
      <c r="AX311" t="s">
        <v>74</v>
      </c>
      <c r="AY311" t="s">
        <v>74</v>
      </c>
      <c r="AZ311" t="s">
        <v>74</v>
      </c>
      <c r="BA311" t="s">
        <v>74</v>
      </c>
      <c r="BB311">
        <v>103</v>
      </c>
      <c r="BC311">
        <v>108</v>
      </c>
      <c r="BD311" t="s">
        <v>74</v>
      </c>
      <c r="BE311" t="s">
        <v>5136</v>
      </c>
      <c r="BF311" t="str">
        <f>HYPERLINK("http://dx.doi.org/10.5194/npg-14-103-2007","http://dx.doi.org/10.5194/npg-14-103-2007")</f>
        <v>http://dx.doi.org/10.5194/npg-14-103-2007</v>
      </c>
      <c r="BG311" t="s">
        <v>74</v>
      </c>
      <c r="BH311" t="s">
        <v>74</v>
      </c>
      <c r="BI311">
        <v>6</v>
      </c>
      <c r="BJ311" t="s">
        <v>5137</v>
      </c>
      <c r="BK311" t="s">
        <v>97</v>
      </c>
      <c r="BL311" t="s">
        <v>5138</v>
      </c>
      <c r="BM311" t="s">
        <v>5139</v>
      </c>
      <c r="BN311" t="s">
        <v>74</v>
      </c>
      <c r="BO311" t="s">
        <v>337</v>
      </c>
      <c r="BP311" t="s">
        <v>74</v>
      </c>
      <c r="BQ311" t="s">
        <v>74</v>
      </c>
      <c r="BR311" t="s">
        <v>100</v>
      </c>
      <c r="BS311" t="s">
        <v>5140</v>
      </c>
      <c r="BT311" t="str">
        <f>HYPERLINK("https%3A%2F%2Fwww.webofscience.com%2Fwos%2Fwoscc%2Ffull-record%2FWOS:000247308600001","View Full Record in Web of Science")</f>
        <v>View Full Record in Web of Science</v>
      </c>
    </row>
    <row r="312" spans="1:72" x14ac:dyDescent="0.15">
      <c r="A312" t="s">
        <v>72</v>
      </c>
      <c r="B312" t="s">
        <v>5141</v>
      </c>
      <c r="C312" t="s">
        <v>74</v>
      </c>
      <c r="D312" t="s">
        <v>74</v>
      </c>
      <c r="E312" t="s">
        <v>74</v>
      </c>
      <c r="F312" t="s">
        <v>5142</v>
      </c>
      <c r="G312" t="s">
        <v>74</v>
      </c>
      <c r="H312" t="s">
        <v>74</v>
      </c>
      <c r="I312" t="s">
        <v>5143</v>
      </c>
      <c r="J312" t="s">
        <v>5124</v>
      </c>
      <c r="K312" t="s">
        <v>74</v>
      </c>
      <c r="L312" t="s">
        <v>74</v>
      </c>
      <c r="M312" t="s">
        <v>78</v>
      </c>
      <c r="N312" t="s">
        <v>79</v>
      </c>
      <c r="O312" t="s">
        <v>74</v>
      </c>
      <c r="P312" t="s">
        <v>74</v>
      </c>
      <c r="Q312" t="s">
        <v>74</v>
      </c>
      <c r="R312" t="s">
        <v>74</v>
      </c>
      <c r="S312" t="s">
        <v>74</v>
      </c>
      <c r="T312" t="s">
        <v>74</v>
      </c>
      <c r="U312" t="s">
        <v>5144</v>
      </c>
      <c r="V312" t="s">
        <v>5145</v>
      </c>
      <c r="W312" t="s">
        <v>5146</v>
      </c>
      <c r="X312" t="s">
        <v>514</v>
      </c>
      <c r="Y312" t="s">
        <v>5147</v>
      </c>
      <c r="Z312" t="s">
        <v>5148</v>
      </c>
      <c r="AA312" t="s">
        <v>5149</v>
      </c>
      <c r="AB312" t="s">
        <v>5150</v>
      </c>
      <c r="AC312" t="s">
        <v>5151</v>
      </c>
      <c r="AD312" t="s">
        <v>158</v>
      </c>
      <c r="AE312" t="s">
        <v>74</v>
      </c>
      <c r="AF312" t="s">
        <v>74</v>
      </c>
      <c r="AG312">
        <v>45</v>
      </c>
      <c r="AH312">
        <v>21</v>
      </c>
      <c r="AI312">
        <v>22</v>
      </c>
      <c r="AJ312">
        <v>0</v>
      </c>
      <c r="AK312">
        <v>0</v>
      </c>
      <c r="AL312" t="s">
        <v>351</v>
      </c>
      <c r="AM312" t="s">
        <v>352</v>
      </c>
      <c r="AN312" t="s">
        <v>353</v>
      </c>
      <c r="AO312" t="s">
        <v>5132</v>
      </c>
      <c r="AP312" t="s">
        <v>74</v>
      </c>
      <c r="AQ312" t="s">
        <v>74</v>
      </c>
      <c r="AR312" t="s">
        <v>5134</v>
      </c>
      <c r="AS312" t="s">
        <v>5135</v>
      </c>
      <c r="AT312" t="s">
        <v>74</v>
      </c>
      <c r="AU312">
        <v>2007</v>
      </c>
      <c r="AV312">
        <v>14</v>
      </c>
      <c r="AW312">
        <v>6</v>
      </c>
      <c r="AX312" t="s">
        <v>74</v>
      </c>
      <c r="AY312" t="s">
        <v>74</v>
      </c>
      <c r="AZ312" t="s">
        <v>74</v>
      </c>
      <c r="BA312" t="s">
        <v>74</v>
      </c>
      <c r="BB312">
        <v>799</v>
      </c>
      <c r="BC312">
        <v>809</v>
      </c>
      <c r="BD312" t="s">
        <v>74</v>
      </c>
      <c r="BE312" t="s">
        <v>5152</v>
      </c>
      <c r="BF312" t="str">
        <f>HYPERLINK("http://dx.doi.org/10.5194/npg-14-799-2007","http://dx.doi.org/10.5194/npg-14-799-2007")</f>
        <v>http://dx.doi.org/10.5194/npg-14-799-2007</v>
      </c>
      <c r="BG312" t="s">
        <v>74</v>
      </c>
      <c r="BH312" t="s">
        <v>74</v>
      </c>
      <c r="BI312">
        <v>11</v>
      </c>
      <c r="BJ312" t="s">
        <v>5137</v>
      </c>
      <c r="BK312" t="s">
        <v>97</v>
      </c>
      <c r="BL312" t="s">
        <v>5138</v>
      </c>
      <c r="BM312" t="s">
        <v>5153</v>
      </c>
      <c r="BN312" t="s">
        <v>74</v>
      </c>
      <c r="BO312" t="s">
        <v>5154</v>
      </c>
      <c r="BP312" t="s">
        <v>74</v>
      </c>
      <c r="BQ312" t="s">
        <v>74</v>
      </c>
      <c r="BR312" t="s">
        <v>100</v>
      </c>
      <c r="BS312" t="s">
        <v>5155</v>
      </c>
      <c r="BT312" t="str">
        <f>HYPERLINK("https%3A%2F%2Fwww.webofscience.com%2Fwos%2Fwoscc%2Ffull-record%2FWOS:000251998300011","View Full Record in Web of Science")</f>
        <v>View Full Record in Web of Science</v>
      </c>
    </row>
    <row r="313" spans="1:72" x14ac:dyDescent="0.15">
      <c r="A313" t="s">
        <v>888</v>
      </c>
      <c r="B313" t="s">
        <v>5156</v>
      </c>
      <c r="C313" t="s">
        <v>74</v>
      </c>
      <c r="D313" t="s">
        <v>5156</v>
      </c>
      <c r="E313" t="s">
        <v>74</v>
      </c>
      <c r="F313" t="s">
        <v>5157</v>
      </c>
      <c r="G313" t="s">
        <v>74</v>
      </c>
      <c r="H313" t="s">
        <v>74</v>
      </c>
      <c r="I313" t="s">
        <v>5158</v>
      </c>
      <c r="J313" t="s">
        <v>5159</v>
      </c>
      <c r="K313" t="s">
        <v>5160</v>
      </c>
      <c r="L313" t="s">
        <v>74</v>
      </c>
      <c r="M313" t="s">
        <v>78</v>
      </c>
      <c r="N313" t="s">
        <v>219</v>
      </c>
      <c r="O313" t="s">
        <v>74</v>
      </c>
      <c r="P313" t="s">
        <v>74</v>
      </c>
      <c r="Q313" t="s">
        <v>74</v>
      </c>
      <c r="R313" t="s">
        <v>74</v>
      </c>
      <c r="S313" t="s">
        <v>74</v>
      </c>
      <c r="T313" t="s">
        <v>74</v>
      </c>
      <c r="U313" t="s">
        <v>5161</v>
      </c>
      <c r="V313" t="s">
        <v>74</v>
      </c>
      <c r="W313" t="s">
        <v>5162</v>
      </c>
      <c r="X313" t="s">
        <v>5163</v>
      </c>
      <c r="Y313" t="s">
        <v>5164</v>
      </c>
      <c r="Z313" t="s">
        <v>5165</v>
      </c>
      <c r="AA313" t="s">
        <v>74</v>
      </c>
      <c r="AB313" t="s">
        <v>74</v>
      </c>
      <c r="AC313" t="s">
        <v>74</v>
      </c>
      <c r="AD313" t="s">
        <v>74</v>
      </c>
      <c r="AE313" t="s">
        <v>74</v>
      </c>
      <c r="AF313" t="s">
        <v>74</v>
      </c>
      <c r="AG313">
        <v>41</v>
      </c>
      <c r="AH313">
        <v>5</v>
      </c>
      <c r="AI313">
        <v>6</v>
      </c>
      <c r="AJ313">
        <v>0</v>
      </c>
      <c r="AK313">
        <v>0</v>
      </c>
      <c r="AL313" t="s">
        <v>5166</v>
      </c>
      <c r="AM313" t="s">
        <v>222</v>
      </c>
      <c r="AN313" t="s">
        <v>5167</v>
      </c>
      <c r="AO313" t="s">
        <v>5168</v>
      </c>
      <c r="AP313" t="s">
        <v>74</v>
      </c>
      <c r="AQ313" t="s">
        <v>5169</v>
      </c>
      <c r="AR313" t="s">
        <v>5170</v>
      </c>
      <c r="AS313" t="s">
        <v>5171</v>
      </c>
      <c r="AT313" t="s">
        <v>74</v>
      </c>
      <c r="AU313">
        <v>2007</v>
      </c>
      <c r="AV313" t="s">
        <v>74</v>
      </c>
      <c r="AW313">
        <v>150</v>
      </c>
      <c r="AX313" t="s">
        <v>74</v>
      </c>
      <c r="AY313" t="s">
        <v>74</v>
      </c>
      <c r="AZ313" t="s">
        <v>74</v>
      </c>
      <c r="BA313" t="s">
        <v>74</v>
      </c>
      <c r="BB313">
        <v>205</v>
      </c>
      <c r="BC313">
        <v>214</v>
      </c>
      <c r="BD313" t="s">
        <v>74</v>
      </c>
      <c r="BE313" t="s">
        <v>74</v>
      </c>
      <c r="BF313" t="s">
        <v>74</v>
      </c>
      <c r="BG313" t="s">
        <v>74</v>
      </c>
      <c r="BH313" t="s">
        <v>74</v>
      </c>
      <c r="BI313">
        <v>10</v>
      </c>
      <c r="BJ313" t="s">
        <v>5172</v>
      </c>
      <c r="BK313" t="s">
        <v>238</v>
      </c>
      <c r="BL313" t="s">
        <v>5172</v>
      </c>
      <c r="BM313" t="s">
        <v>5173</v>
      </c>
      <c r="BN313" t="s">
        <v>74</v>
      </c>
      <c r="BO313" t="s">
        <v>74</v>
      </c>
      <c r="BP313" t="s">
        <v>74</v>
      </c>
      <c r="BQ313" t="s">
        <v>74</v>
      </c>
      <c r="BR313" t="s">
        <v>100</v>
      </c>
      <c r="BS313" t="s">
        <v>5174</v>
      </c>
      <c r="BT313" t="str">
        <f>HYPERLINK("https%3A%2F%2Fwww.webofscience.com%2Fwos%2Fwoscc%2Ffull-record%2FWOS:000284532300011","View Full Record in Web of Science")</f>
        <v>View Full Record in Web of Science</v>
      </c>
    </row>
    <row r="314" spans="1:72" x14ac:dyDescent="0.15">
      <c r="A314" t="s">
        <v>72</v>
      </c>
      <c r="B314" t="s">
        <v>5175</v>
      </c>
      <c r="C314" t="s">
        <v>74</v>
      </c>
      <c r="D314" t="s">
        <v>74</v>
      </c>
      <c r="E314" t="s">
        <v>74</v>
      </c>
      <c r="F314" t="s">
        <v>5176</v>
      </c>
      <c r="G314" t="s">
        <v>74</v>
      </c>
      <c r="H314" t="s">
        <v>74</v>
      </c>
      <c r="I314" t="s">
        <v>5177</v>
      </c>
      <c r="J314" t="s">
        <v>5178</v>
      </c>
      <c r="K314" t="s">
        <v>74</v>
      </c>
      <c r="L314" t="s">
        <v>74</v>
      </c>
      <c r="M314" t="s">
        <v>78</v>
      </c>
      <c r="N314" t="s">
        <v>79</v>
      </c>
      <c r="O314" t="s">
        <v>74</v>
      </c>
      <c r="P314" t="s">
        <v>74</v>
      </c>
      <c r="Q314" t="s">
        <v>74</v>
      </c>
      <c r="R314" t="s">
        <v>74</v>
      </c>
      <c r="S314" t="s">
        <v>74</v>
      </c>
      <c r="T314" t="s">
        <v>74</v>
      </c>
      <c r="U314" t="s">
        <v>5179</v>
      </c>
      <c r="V314" t="s">
        <v>5180</v>
      </c>
      <c r="W314" t="s">
        <v>5181</v>
      </c>
      <c r="X314" t="s">
        <v>5182</v>
      </c>
      <c r="Y314" t="s">
        <v>5183</v>
      </c>
      <c r="Z314" t="s">
        <v>5184</v>
      </c>
      <c r="AA314" t="s">
        <v>5185</v>
      </c>
      <c r="AB314" t="s">
        <v>5186</v>
      </c>
      <c r="AC314" t="s">
        <v>74</v>
      </c>
      <c r="AD314" t="s">
        <v>74</v>
      </c>
      <c r="AE314" t="s">
        <v>74</v>
      </c>
      <c r="AF314" t="s">
        <v>74</v>
      </c>
      <c r="AG314">
        <v>34</v>
      </c>
      <c r="AH314">
        <v>9</v>
      </c>
      <c r="AI314">
        <v>9</v>
      </c>
      <c r="AJ314">
        <v>0</v>
      </c>
      <c r="AK314">
        <v>12</v>
      </c>
      <c r="AL314" t="s">
        <v>3389</v>
      </c>
      <c r="AM314" t="s">
        <v>818</v>
      </c>
      <c r="AN314" t="s">
        <v>3390</v>
      </c>
      <c r="AO314" t="s">
        <v>5187</v>
      </c>
      <c r="AP314" t="s">
        <v>74</v>
      </c>
      <c r="AQ314" t="s">
        <v>74</v>
      </c>
      <c r="AR314" t="s">
        <v>5188</v>
      </c>
      <c r="AS314" t="s">
        <v>5189</v>
      </c>
      <c r="AT314" t="s">
        <v>74</v>
      </c>
      <c r="AU314">
        <v>2007</v>
      </c>
      <c r="AV314">
        <v>50</v>
      </c>
      <c r="AW314" t="s">
        <v>5190</v>
      </c>
      <c r="AX314" t="s">
        <v>74</v>
      </c>
      <c r="AY314" t="s">
        <v>74</v>
      </c>
      <c r="AZ314" t="s">
        <v>74</v>
      </c>
      <c r="BA314" t="s">
        <v>74</v>
      </c>
      <c r="BB314">
        <v>428</v>
      </c>
      <c r="BC314">
        <v>442</v>
      </c>
      <c r="BD314" t="s">
        <v>74</v>
      </c>
      <c r="BE314" t="s">
        <v>5191</v>
      </c>
      <c r="BF314" t="str">
        <f>HYPERLINK("http://dx.doi.org/10.1016/j.ocecoaman.2006.09.002","http://dx.doi.org/10.1016/j.ocecoaman.2006.09.002")</f>
        <v>http://dx.doi.org/10.1016/j.ocecoaman.2006.09.002</v>
      </c>
      <c r="BG314" t="s">
        <v>74</v>
      </c>
      <c r="BH314" t="s">
        <v>74</v>
      </c>
      <c r="BI314">
        <v>15</v>
      </c>
      <c r="BJ314" t="s">
        <v>5192</v>
      </c>
      <c r="BK314" t="s">
        <v>97</v>
      </c>
      <c r="BL314" t="s">
        <v>5192</v>
      </c>
      <c r="BM314" t="s">
        <v>5193</v>
      </c>
      <c r="BN314" t="s">
        <v>74</v>
      </c>
      <c r="BO314" t="s">
        <v>74</v>
      </c>
      <c r="BP314" t="s">
        <v>74</v>
      </c>
      <c r="BQ314" t="s">
        <v>74</v>
      </c>
      <c r="BR314" t="s">
        <v>100</v>
      </c>
      <c r="BS314" t="s">
        <v>5194</v>
      </c>
      <c r="BT314" t="str">
        <f>HYPERLINK("https%3A%2F%2Fwww.webofscience.com%2Fwos%2Fwoscc%2Ffull-record%2FWOS:000247573400012","View Full Record in Web of Science")</f>
        <v>View Full Record in Web of Science</v>
      </c>
    </row>
    <row r="315" spans="1:72" x14ac:dyDescent="0.15">
      <c r="A315" t="s">
        <v>72</v>
      </c>
      <c r="B315" t="s">
        <v>5195</v>
      </c>
      <c r="C315" t="s">
        <v>74</v>
      </c>
      <c r="D315" t="s">
        <v>74</v>
      </c>
      <c r="E315" t="s">
        <v>74</v>
      </c>
      <c r="F315" t="s">
        <v>5196</v>
      </c>
      <c r="G315" t="s">
        <v>74</v>
      </c>
      <c r="H315" t="s">
        <v>74</v>
      </c>
      <c r="I315" t="s">
        <v>5197</v>
      </c>
      <c r="J315" t="s">
        <v>5198</v>
      </c>
      <c r="K315" t="s">
        <v>74</v>
      </c>
      <c r="L315" t="s">
        <v>74</v>
      </c>
      <c r="M315" t="s">
        <v>78</v>
      </c>
      <c r="N315" t="s">
        <v>79</v>
      </c>
      <c r="O315" t="s">
        <v>74</v>
      </c>
      <c r="P315" t="s">
        <v>74</v>
      </c>
      <c r="Q315" t="s">
        <v>74</v>
      </c>
      <c r="R315" t="s">
        <v>74</v>
      </c>
      <c r="S315" t="s">
        <v>74</v>
      </c>
      <c r="T315" t="s">
        <v>5199</v>
      </c>
      <c r="U315" t="s">
        <v>5200</v>
      </c>
      <c r="V315" t="s">
        <v>5201</v>
      </c>
      <c r="W315" t="s">
        <v>5202</v>
      </c>
      <c r="X315" t="s">
        <v>5203</v>
      </c>
      <c r="Y315" t="s">
        <v>5204</v>
      </c>
      <c r="Z315" t="s">
        <v>5205</v>
      </c>
      <c r="AA315" t="s">
        <v>74</v>
      </c>
      <c r="AB315" t="s">
        <v>5206</v>
      </c>
      <c r="AC315" t="s">
        <v>74</v>
      </c>
      <c r="AD315" t="s">
        <v>74</v>
      </c>
      <c r="AE315" t="s">
        <v>74</v>
      </c>
      <c r="AF315" t="s">
        <v>74</v>
      </c>
      <c r="AG315">
        <v>55</v>
      </c>
      <c r="AH315">
        <v>116</v>
      </c>
      <c r="AI315">
        <v>123</v>
      </c>
      <c r="AJ315">
        <v>0</v>
      </c>
      <c r="AK315">
        <v>12</v>
      </c>
      <c r="AL315" t="s">
        <v>3389</v>
      </c>
      <c r="AM315" t="s">
        <v>818</v>
      </c>
      <c r="AN315" t="s">
        <v>3390</v>
      </c>
      <c r="AO315" t="s">
        <v>5207</v>
      </c>
      <c r="AP315" t="s">
        <v>5208</v>
      </c>
      <c r="AQ315" t="s">
        <v>74</v>
      </c>
      <c r="AR315" t="s">
        <v>5209</v>
      </c>
      <c r="AS315" t="s">
        <v>5210</v>
      </c>
      <c r="AT315" t="s">
        <v>74</v>
      </c>
      <c r="AU315">
        <v>2007</v>
      </c>
      <c r="AV315">
        <v>18</v>
      </c>
      <c r="AW315">
        <v>2</v>
      </c>
      <c r="AX315" t="s">
        <v>74</v>
      </c>
      <c r="AY315" t="s">
        <v>74</v>
      </c>
      <c r="AZ315" t="s">
        <v>74</v>
      </c>
      <c r="BA315" t="s">
        <v>74</v>
      </c>
      <c r="BB315">
        <v>122</v>
      </c>
      <c r="BC315">
        <v>141</v>
      </c>
      <c r="BD315" t="s">
        <v>74</v>
      </c>
      <c r="BE315" t="s">
        <v>5211</v>
      </c>
      <c r="BF315" t="str">
        <f>HYPERLINK("http://dx.doi.org/10.1016/j.ocemod.2007.03.006","http://dx.doi.org/10.1016/j.ocemod.2007.03.006")</f>
        <v>http://dx.doi.org/10.1016/j.ocemod.2007.03.006</v>
      </c>
      <c r="BG315" t="s">
        <v>74</v>
      </c>
      <c r="BH315" t="s">
        <v>74</v>
      </c>
      <c r="BI315">
        <v>20</v>
      </c>
      <c r="BJ315" t="s">
        <v>5212</v>
      </c>
      <c r="BK315" t="s">
        <v>97</v>
      </c>
      <c r="BL315" t="s">
        <v>5212</v>
      </c>
      <c r="BM315" t="s">
        <v>5213</v>
      </c>
      <c r="BN315" t="s">
        <v>74</v>
      </c>
      <c r="BO315" t="s">
        <v>74</v>
      </c>
      <c r="BP315" t="s">
        <v>74</v>
      </c>
      <c r="BQ315" t="s">
        <v>74</v>
      </c>
      <c r="BR315" t="s">
        <v>100</v>
      </c>
      <c r="BS315" t="s">
        <v>5214</v>
      </c>
      <c r="BT315" t="str">
        <f>HYPERLINK("https%3A%2F%2Fwww.webofscience.com%2Fwos%2Fwoscc%2Ffull-record%2FWOS:000248608200003","View Full Record in Web of Science")</f>
        <v>View Full Record in Web of Science</v>
      </c>
    </row>
    <row r="316" spans="1:72" x14ac:dyDescent="0.15">
      <c r="A316" t="s">
        <v>72</v>
      </c>
      <c r="B316" t="s">
        <v>5215</v>
      </c>
      <c r="C316" t="s">
        <v>74</v>
      </c>
      <c r="D316" t="s">
        <v>74</v>
      </c>
      <c r="E316" t="s">
        <v>74</v>
      </c>
      <c r="F316" t="s">
        <v>5216</v>
      </c>
      <c r="G316" t="s">
        <v>74</v>
      </c>
      <c r="H316" t="s">
        <v>74</v>
      </c>
      <c r="I316" t="s">
        <v>5217</v>
      </c>
      <c r="J316" t="s">
        <v>5198</v>
      </c>
      <c r="K316" t="s">
        <v>74</v>
      </c>
      <c r="L316" t="s">
        <v>74</v>
      </c>
      <c r="M316" t="s">
        <v>78</v>
      </c>
      <c r="N316" t="s">
        <v>79</v>
      </c>
      <c r="O316" t="s">
        <v>74</v>
      </c>
      <c r="P316" t="s">
        <v>74</v>
      </c>
      <c r="Q316" t="s">
        <v>74</v>
      </c>
      <c r="R316" t="s">
        <v>74</v>
      </c>
      <c r="S316" t="s">
        <v>74</v>
      </c>
      <c r="T316" t="s">
        <v>74</v>
      </c>
      <c r="U316" t="s">
        <v>5218</v>
      </c>
      <c r="V316" t="s">
        <v>5219</v>
      </c>
      <c r="W316" t="s">
        <v>5220</v>
      </c>
      <c r="X316" t="s">
        <v>5221</v>
      </c>
      <c r="Y316" t="s">
        <v>5222</v>
      </c>
      <c r="Z316" t="s">
        <v>5223</v>
      </c>
      <c r="AA316" t="s">
        <v>5224</v>
      </c>
      <c r="AB316" t="s">
        <v>74</v>
      </c>
      <c r="AC316" t="s">
        <v>74</v>
      </c>
      <c r="AD316" t="s">
        <v>74</v>
      </c>
      <c r="AE316" t="s">
        <v>74</v>
      </c>
      <c r="AF316" t="s">
        <v>74</v>
      </c>
      <c r="AG316">
        <v>27</v>
      </c>
      <c r="AH316">
        <v>26</v>
      </c>
      <c r="AI316">
        <v>29</v>
      </c>
      <c r="AJ316">
        <v>0</v>
      </c>
      <c r="AK316">
        <v>5</v>
      </c>
      <c r="AL316" t="s">
        <v>3389</v>
      </c>
      <c r="AM316" t="s">
        <v>818</v>
      </c>
      <c r="AN316" t="s">
        <v>3390</v>
      </c>
      <c r="AO316" t="s">
        <v>5207</v>
      </c>
      <c r="AP316" t="s">
        <v>74</v>
      </c>
      <c r="AQ316" t="s">
        <v>74</v>
      </c>
      <c r="AR316" t="s">
        <v>5209</v>
      </c>
      <c r="AS316" t="s">
        <v>5210</v>
      </c>
      <c r="AT316" t="s">
        <v>74</v>
      </c>
      <c r="AU316">
        <v>2007</v>
      </c>
      <c r="AV316">
        <v>17</v>
      </c>
      <c r="AW316">
        <v>2</v>
      </c>
      <c r="AX316" t="s">
        <v>74</v>
      </c>
      <c r="AY316" t="s">
        <v>74</v>
      </c>
      <c r="AZ316" t="s">
        <v>74</v>
      </c>
      <c r="BA316" t="s">
        <v>74</v>
      </c>
      <c r="BB316">
        <v>123</v>
      </c>
      <c r="BC316">
        <v>139</v>
      </c>
      <c r="BD316" t="s">
        <v>74</v>
      </c>
      <c r="BE316" t="s">
        <v>5225</v>
      </c>
      <c r="BF316" t="str">
        <f>HYPERLINK("http://dx.doi.org/10.1016/j.ocemod.2007.01.001","http://dx.doi.org/10.1016/j.ocemod.2007.01.001")</f>
        <v>http://dx.doi.org/10.1016/j.ocemod.2007.01.001</v>
      </c>
      <c r="BG316" t="s">
        <v>74</v>
      </c>
      <c r="BH316" t="s">
        <v>74</v>
      </c>
      <c r="BI316">
        <v>17</v>
      </c>
      <c r="BJ316" t="s">
        <v>5212</v>
      </c>
      <c r="BK316" t="s">
        <v>97</v>
      </c>
      <c r="BL316" t="s">
        <v>5212</v>
      </c>
      <c r="BM316" t="s">
        <v>5226</v>
      </c>
      <c r="BN316" t="s">
        <v>74</v>
      </c>
      <c r="BO316" t="s">
        <v>74</v>
      </c>
      <c r="BP316" t="s">
        <v>74</v>
      </c>
      <c r="BQ316" t="s">
        <v>74</v>
      </c>
      <c r="BR316" t="s">
        <v>100</v>
      </c>
      <c r="BS316" t="s">
        <v>5227</v>
      </c>
      <c r="BT316" t="str">
        <f>HYPERLINK("https%3A%2F%2Fwww.webofscience.com%2Fwos%2Fwoscc%2Ffull-record%2FWOS:000246280500002","View Full Record in Web of Science")</f>
        <v>View Full Record in Web of Science</v>
      </c>
    </row>
    <row r="317" spans="1:72" x14ac:dyDescent="0.15">
      <c r="A317" t="s">
        <v>72</v>
      </c>
      <c r="B317" t="s">
        <v>5228</v>
      </c>
      <c r="C317" t="s">
        <v>74</v>
      </c>
      <c r="D317" t="s">
        <v>74</v>
      </c>
      <c r="E317" t="s">
        <v>74</v>
      </c>
      <c r="F317" t="s">
        <v>5229</v>
      </c>
      <c r="G317" t="s">
        <v>74</v>
      </c>
      <c r="H317" t="s">
        <v>74</v>
      </c>
      <c r="I317" t="s">
        <v>5230</v>
      </c>
      <c r="J317" t="s">
        <v>5198</v>
      </c>
      <c r="K317" t="s">
        <v>74</v>
      </c>
      <c r="L317" t="s">
        <v>74</v>
      </c>
      <c r="M317" t="s">
        <v>78</v>
      </c>
      <c r="N317" t="s">
        <v>79</v>
      </c>
      <c r="O317" t="s">
        <v>74</v>
      </c>
      <c r="P317" t="s">
        <v>74</v>
      </c>
      <c r="Q317" t="s">
        <v>74</v>
      </c>
      <c r="R317" t="s">
        <v>74</v>
      </c>
      <c r="S317" t="s">
        <v>74</v>
      </c>
      <c r="T317" t="s">
        <v>74</v>
      </c>
      <c r="U317" t="s">
        <v>5231</v>
      </c>
      <c r="V317" t="s">
        <v>5232</v>
      </c>
      <c r="W317" t="s">
        <v>5233</v>
      </c>
      <c r="X317" t="s">
        <v>5234</v>
      </c>
      <c r="Y317" t="s">
        <v>5235</v>
      </c>
      <c r="Z317" t="s">
        <v>5236</v>
      </c>
      <c r="AA317" t="s">
        <v>74</v>
      </c>
      <c r="AB317" t="s">
        <v>74</v>
      </c>
      <c r="AC317" t="s">
        <v>74</v>
      </c>
      <c r="AD317" t="s">
        <v>74</v>
      </c>
      <c r="AE317" t="s">
        <v>74</v>
      </c>
      <c r="AF317" t="s">
        <v>74</v>
      </c>
      <c r="AG317">
        <v>56</v>
      </c>
      <c r="AH317">
        <v>12</v>
      </c>
      <c r="AI317">
        <v>14</v>
      </c>
      <c r="AJ317">
        <v>0</v>
      </c>
      <c r="AK317">
        <v>3</v>
      </c>
      <c r="AL317" t="s">
        <v>3389</v>
      </c>
      <c r="AM317" t="s">
        <v>818</v>
      </c>
      <c r="AN317" t="s">
        <v>3390</v>
      </c>
      <c r="AO317" t="s">
        <v>5207</v>
      </c>
      <c r="AP317" t="s">
        <v>5208</v>
      </c>
      <c r="AQ317" t="s">
        <v>74</v>
      </c>
      <c r="AR317" t="s">
        <v>5209</v>
      </c>
      <c r="AS317" t="s">
        <v>5210</v>
      </c>
      <c r="AT317" t="s">
        <v>74</v>
      </c>
      <c r="AU317">
        <v>2007</v>
      </c>
      <c r="AV317">
        <v>16</v>
      </c>
      <c r="AW317" t="s">
        <v>1283</v>
      </c>
      <c r="AX317" t="s">
        <v>74</v>
      </c>
      <c r="AY317" t="s">
        <v>74</v>
      </c>
      <c r="AZ317" t="s">
        <v>74</v>
      </c>
      <c r="BA317" t="s">
        <v>74</v>
      </c>
      <c r="BB317">
        <v>206</v>
      </c>
      <c r="BC317">
        <v>223</v>
      </c>
      <c r="BD317" t="s">
        <v>74</v>
      </c>
      <c r="BE317" t="s">
        <v>5237</v>
      </c>
      <c r="BF317" t="str">
        <f>HYPERLINK("http://dx.doi.org/10.1016/j.ocemod.2006.10.001","http://dx.doi.org/10.1016/j.ocemod.2006.10.001")</f>
        <v>http://dx.doi.org/10.1016/j.ocemod.2006.10.001</v>
      </c>
      <c r="BG317" t="s">
        <v>74</v>
      </c>
      <c r="BH317" t="s">
        <v>74</v>
      </c>
      <c r="BI317">
        <v>18</v>
      </c>
      <c r="BJ317" t="s">
        <v>5212</v>
      </c>
      <c r="BK317" t="s">
        <v>97</v>
      </c>
      <c r="BL317" t="s">
        <v>5212</v>
      </c>
      <c r="BM317" t="s">
        <v>5238</v>
      </c>
      <c r="BN317" t="s">
        <v>74</v>
      </c>
      <c r="BO317" t="s">
        <v>74</v>
      </c>
      <c r="BP317" t="s">
        <v>74</v>
      </c>
      <c r="BQ317" t="s">
        <v>74</v>
      </c>
      <c r="BR317" t="s">
        <v>100</v>
      </c>
      <c r="BS317" t="s">
        <v>5239</v>
      </c>
      <c r="BT317" t="str">
        <f>HYPERLINK("https%3A%2F%2Fwww.webofscience.com%2Fwos%2Fwoscc%2Ffull-record%2FWOS:000245180200004","View Full Record in Web of Science")</f>
        <v>View Full Record in Web of Science</v>
      </c>
    </row>
    <row r="318" spans="1:72" x14ac:dyDescent="0.15">
      <c r="A318" t="s">
        <v>72</v>
      </c>
      <c r="B318" t="s">
        <v>5240</v>
      </c>
      <c r="C318" t="s">
        <v>74</v>
      </c>
      <c r="D318" t="s">
        <v>74</v>
      </c>
      <c r="E318" t="s">
        <v>74</v>
      </c>
      <c r="F318" t="s">
        <v>5241</v>
      </c>
      <c r="G318" t="s">
        <v>74</v>
      </c>
      <c r="H318" t="s">
        <v>74</v>
      </c>
      <c r="I318" t="s">
        <v>5242</v>
      </c>
      <c r="J318" t="s">
        <v>5243</v>
      </c>
      <c r="K318" t="s">
        <v>74</v>
      </c>
      <c r="L318" t="s">
        <v>74</v>
      </c>
      <c r="M318" t="s">
        <v>78</v>
      </c>
      <c r="N318" t="s">
        <v>79</v>
      </c>
      <c r="O318" t="s">
        <v>74</v>
      </c>
      <c r="P318" t="s">
        <v>74</v>
      </c>
      <c r="Q318" t="s">
        <v>74</v>
      </c>
      <c r="R318" t="s">
        <v>74</v>
      </c>
      <c r="S318" t="s">
        <v>74</v>
      </c>
      <c r="T318" t="s">
        <v>74</v>
      </c>
      <c r="U318" t="s">
        <v>5244</v>
      </c>
      <c r="V318" t="s">
        <v>5245</v>
      </c>
      <c r="W318" t="s">
        <v>5246</v>
      </c>
      <c r="X318" t="s">
        <v>5163</v>
      </c>
      <c r="Y318" t="s">
        <v>5247</v>
      </c>
      <c r="Z318" t="s">
        <v>5248</v>
      </c>
      <c r="AA318" t="s">
        <v>5249</v>
      </c>
      <c r="AB318" t="s">
        <v>5250</v>
      </c>
      <c r="AC318" t="s">
        <v>74</v>
      </c>
      <c r="AD318" t="s">
        <v>74</v>
      </c>
      <c r="AE318" t="s">
        <v>74</v>
      </c>
      <c r="AF318" t="s">
        <v>74</v>
      </c>
      <c r="AG318">
        <v>37</v>
      </c>
      <c r="AH318">
        <v>7</v>
      </c>
      <c r="AI318">
        <v>8</v>
      </c>
      <c r="AJ318">
        <v>0</v>
      </c>
      <c r="AK318">
        <v>5</v>
      </c>
      <c r="AL318" t="s">
        <v>489</v>
      </c>
      <c r="AM318" t="s">
        <v>490</v>
      </c>
      <c r="AN318" t="s">
        <v>491</v>
      </c>
      <c r="AO318" t="s">
        <v>5251</v>
      </c>
      <c r="AP318" t="s">
        <v>74</v>
      </c>
      <c r="AQ318" t="s">
        <v>74</v>
      </c>
      <c r="AR318" t="s">
        <v>5252</v>
      </c>
      <c r="AS318" t="s">
        <v>5253</v>
      </c>
      <c r="AT318" t="s">
        <v>74</v>
      </c>
      <c r="AU318">
        <v>2007</v>
      </c>
      <c r="AV318">
        <v>3</v>
      </c>
      <c r="AW318">
        <v>1</v>
      </c>
      <c r="AX318" t="s">
        <v>74</v>
      </c>
      <c r="AY318" t="s">
        <v>74</v>
      </c>
      <c r="AZ318" t="s">
        <v>74</v>
      </c>
      <c r="BA318" t="s">
        <v>74</v>
      </c>
      <c r="BB318">
        <v>17</v>
      </c>
      <c r="BC318">
        <v>30</v>
      </c>
      <c r="BD318" t="s">
        <v>74</v>
      </c>
      <c r="BE318" t="s">
        <v>5254</v>
      </c>
      <c r="BF318" t="str">
        <f>HYPERLINK("http://dx.doi.org/10.5194/os-3-17-2007","http://dx.doi.org/10.5194/os-3-17-2007")</f>
        <v>http://dx.doi.org/10.5194/os-3-17-2007</v>
      </c>
      <c r="BG318" t="s">
        <v>74</v>
      </c>
      <c r="BH318" t="s">
        <v>74</v>
      </c>
      <c r="BI318">
        <v>14</v>
      </c>
      <c r="BJ318" t="s">
        <v>5212</v>
      </c>
      <c r="BK318" t="s">
        <v>97</v>
      </c>
      <c r="BL318" t="s">
        <v>5212</v>
      </c>
      <c r="BM318" t="s">
        <v>5255</v>
      </c>
      <c r="BN318" t="s">
        <v>74</v>
      </c>
      <c r="BO318" t="s">
        <v>392</v>
      </c>
      <c r="BP318" t="s">
        <v>74</v>
      </c>
      <c r="BQ318" t="s">
        <v>74</v>
      </c>
      <c r="BR318" t="s">
        <v>100</v>
      </c>
      <c r="BS318" t="s">
        <v>5256</v>
      </c>
      <c r="BT318" t="str">
        <f>HYPERLINK("https%3A%2F%2Fwww.webofscience.com%2Fwos%2Fwoscc%2Ffull-record%2FWOS:000250832600002","View Full Record in Web of Science")</f>
        <v>View Full Record in Web of Science</v>
      </c>
    </row>
    <row r="319" spans="1:72" x14ac:dyDescent="0.15">
      <c r="A319" t="s">
        <v>72</v>
      </c>
      <c r="B319" t="s">
        <v>5257</v>
      </c>
      <c r="C319" t="s">
        <v>74</v>
      </c>
      <c r="D319" t="s">
        <v>74</v>
      </c>
      <c r="E319" t="s">
        <v>74</v>
      </c>
      <c r="F319" t="s">
        <v>5258</v>
      </c>
      <c r="G319" t="s">
        <v>74</v>
      </c>
      <c r="H319" t="s">
        <v>74</v>
      </c>
      <c r="I319" t="s">
        <v>5259</v>
      </c>
      <c r="J319" t="s">
        <v>5243</v>
      </c>
      <c r="K319" t="s">
        <v>74</v>
      </c>
      <c r="L319" t="s">
        <v>74</v>
      </c>
      <c r="M319" t="s">
        <v>78</v>
      </c>
      <c r="N319" t="s">
        <v>79</v>
      </c>
      <c r="O319" t="s">
        <v>74</v>
      </c>
      <c r="P319" t="s">
        <v>74</v>
      </c>
      <c r="Q319" t="s">
        <v>74</v>
      </c>
      <c r="R319" t="s">
        <v>74</v>
      </c>
      <c r="S319" t="s">
        <v>74</v>
      </c>
      <c r="T319" t="s">
        <v>74</v>
      </c>
      <c r="U319" t="s">
        <v>5260</v>
      </c>
      <c r="V319" t="s">
        <v>5261</v>
      </c>
      <c r="W319" t="s">
        <v>5262</v>
      </c>
      <c r="X319" t="s">
        <v>5128</v>
      </c>
      <c r="Y319" t="s">
        <v>5263</v>
      </c>
      <c r="Z319" t="s">
        <v>5130</v>
      </c>
      <c r="AA319" t="s">
        <v>74</v>
      </c>
      <c r="AB319" t="s">
        <v>74</v>
      </c>
      <c r="AC319" t="s">
        <v>74</v>
      </c>
      <c r="AD319" t="s">
        <v>74</v>
      </c>
      <c r="AE319" t="s">
        <v>74</v>
      </c>
      <c r="AF319" t="s">
        <v>74</v>
      </c>
      <c r="AG319">
        <v>21</v>
      </c>
      <c r="AH319">
        <v>7</v>
      </c>
      <c r="AI319">
        <v>8</v>
      </c>
      <c r="AJ319">
        <v>0</v>
      </c>
      <c r="AK319">
        <v>4</v>
      </c>
      <c r="AL319" t="s">
        <v>489</v>
      </c>
      <c r="AM319" t="s">
        <v>490</v>
      </c>
      <c r="AN319" t="s">
        <v>491</v>
      </c>
      <c r="AO319" t="s">
        <v>5251</v>
      </c>
      <c r="AP319" t="s">
        <v>74</v>
      </c>
      <c r="AQ319" t="s">
        <v>74</v>
      </c>
      <c r="AR319" t="s">
        <v>5252</v>
      </c>
      <c r="AS319" t="s">
        <v>5253</v>
      </c>
      <c r="AT319" t="s">
        <v>74</v>
      </c>
      <c r="AU319">
        <v>2007</v>
      </c>
      <c r="AV319">
        <v>3</v>
      </c>
      <c r="AW319">
        <v>2</v>
      </c>
      <c r="AX319" t="s">
        <v>74</v>
      </c>
      <c r="AY319" t="s">
        <v>74</v>
      </c>
      <c r="AZ319" t="s">
        <v>74</v>
      </c>
      <c r="BA319" t="s">
        <v>74</v>
      </c>
      <c r="BB319">
        <v>291</v>
      </c>
      <c r="BC319">
        <v>298</v>
      </c>
      <c r="BD319" t="s">
        <v>74</v>
      </c>
      <c r="BE319" t="s">
        <v>5264</v>
      </c>
      <c r="BF319" t="str">
        <f>HYPERLINK("http://dx.doi.org/10.5194/os-3-291-2007","http://dx.doi.org/10.5194/os-3-291-2007")</f>
        <v>http://dx.doi.org/10.5194/os-3-291-2007</v>
      </c>
      <c r="BG319" t="s">
        <v>74</v>
      </c>
      <c r="BH319" t="s">
        <v>74</v>
      </c>
      <c r="BI319">
        <v>8</v>
      </c>
      <c r="BJ319" t="s">
        <v>5212</v>
      </c>
      <c r="BK319" t="s">
        <v>97</v>
      </c>
      <c r="BL319" t="s">
        <v>5212</v>
      </c>
      <c r="BM319" t="s">
        <v>5265</v>
      </c>
      <c r="BN319" t="s">
        <v>74</v>
      </c>
      <c r="BO319" t="s">
        <v>337</v>
      </c>
      <c r="BP319" t="s">
        <v>74</v>
      </c>
      <c r="BQ319" t="s">
        <v>74</v>
      </c>
      <c r="BR319" t="s">
        <v>100</v>
      </c>
      <c r="BS319" t="s">
        <v>5266</v>
      </c>
      <c r="BT319" t="str">
        <f>HYPERLINK("https%3A%2F%2Fwww.webofscience.com%2Fwos%2Fwoscc%2Ffull-record%2FWOS:000250832700010","View Full Record in Web of Science")</f>
        <v>View Full Record in Web of Science</v>
      </c>
    </row>
    <row r="320" spans="1:72" x14ac:dyDescent="0.15">
      <c r="A320" t="s">
        <v>72</v>
      </c>
      <c r="B320" t="s">
        <v>5267</v>
      </c>
      <c r="C320" t="s">
        <v>74</v>
      </c>
      <c r="D320" t="s">
        <v>74</v>
      </c>
      <c r="E320" t="s">
        <v>74</v>
      </c>
      <c r="F320" t="s">
        <v>5268</v>
      </c>
      <c r="G320" t="s">
        <v>74</v>
      </c>
      <c r="H320" t="s">
        <v>74</v>
      </c>
      <c r="I320" t="s">
        <v>5269</v>
      </c>
      <c r="J320" t="s">
        <v>5243</v>
      </c>
      <c r="K320" t="s">
        <v>74</v>
      </c>
      <c r="L320" t="s">
        <v>74</v>
      </c>
      <c r="M320" t="s">
        <v>78</v>
      </c>
      <c r="N320" t="s">
        <v>79</v>
      </c>
      <c r="O320" t="s">
        <v>74</v>
      </c>
      <c r="P320" t="s">
        <v>74</v>
      </c>
      <c r="Q320" t="s">
        <v>74</v>
      </c>
      <c r="R320" t="s">
        <v>74</v>
      </c>
      <c r="S320" t="s">
        <v>74</v>
      </c>
      <c r="T320" t="s">
        <v>74</v>
      </c>
      <c r="U320" t="s">
        <v>74</v>
      </c>
      <c r="V320" t="s">
        <v>5270</v>
      </c>
      <c r="W320" t="s">
        <v>5271</v>
      </c>
      <c r="X320" t="s">
        <v>5272</v>
      </c>
      <c r="Y320" t="s">
        <v>5273</v>
      </c>
      <c r="Z320" t="s">
        <v>5274</v>
      </c>
      <c r="AA320" t="s">
        <v>74</v>
      </c>
      <c r="AB320" t="s">
        <v>5275</v>
      </c>
      <c r="AC320" t="s">
        <v>74</v>
      </c>
      <c r="AD320" t="s">
        <v>74</v>
      </c>
      <c r="AE320" t="s">
        <v>74</v>
      </c>
      <c r="AF320" t="s">
        <v>74</v>
      </c>
      <c r="AG320">
        <v>14</v>
      </c>
      <c r="AH320">
        <v>5</v>
      </c>
      <c r="AI320">
        <v>5</v>
      </c>
      <c r="AJ320">
        <v>0</v>
      </c>
      <c r="AK320">
        <v>7</v>
      </c>
      <c r="AL320" t="s">
        <v>351</v>
      </c>
      <c r="AM320" t="s">
        <v>352</v>
      </c>
      <c r="AN320" t="s">
        <v>353</v>
      </c>
      <c r="AO320" t="s">
        <v>5251</v>
      </c>
      <c r="AP320" t="s">
        <v>74</v>
      </c>
      <c r="AQ320" t="s">
        <v>74</v>
      </c>
      <c r="AR320" t="s">
        <v>5252</v>
      </c>
      <c r="AS320" t="s">
        <v>5253</v>
      </c>
      <c r="AT320" t="s">
        <v>74</v>
      </c>
      <c r="AU320">
        <v>2007</v>
      </c>
      <c r="AV320">
        <v>3</v>
      </c>
      <c r="AW320">
        <v>3</v>
      </c>
      <c r="AX320" t="s">
        <v>74</v>
      </c>
      <c r="AY320" t="s">
        <v>74</v>
      </c>
      <c r="AZ320" t="s">
        <v>74</v>
      </c>
      <c r="BA320" t="s">
        <v>74</v>
      </c>
      <c r="BB320">
        <v>363</v>
      </c>
      <c r="BC320">
        <v>377</v>
      </c>
      <c r="BD320" t="s">
        <v>74</v>
      </c>
      <c r="BE320" t="s">
        <v>5276</v>
      </c>
      <c r="BF320" t="str">
        <f>HYPERLINK("http://dx.doi.org/10.5194/os-3-363-2007","http://dx.doi.org/10.5194/os-3-363-2007")</f>
        <v>http://dx.doi.org/10.5194/os-3-363-2007</v>
      </c>
      <c r="BG320" t="s">
        <v>74</v>
      </c>
      <c r="BH320" t="s">
        <v>74</v>
      </c>
      <c r="BI320">
        <v>15</v>
      </c>
      <c r="BJ320" t="s">
        <v>5212</v>
      </c>
      <c r="BK320" t="s">
        <v>97</v>
      </c>
      <c r="BL320" t="s">
        <v>5212</v>
      </c>
      <c r="BM320" t="s">
        <v>5277</v>
      </c>
      <c r="BN320" t="s">
        <v>74</v>
      </c>
      <c r="BO320" t="s">
        <v>337</v>
      </c>
      <c r="BP320" t="s">
        <v>74</v>
      </c>
      <c r="BQ320" t="s">
        <v>74</v>
      </c>
      <c r="BR320" t="s">
        <v>100</v>
      </c>
      <c r="BS320" t="s">
        <v>5278</v>
      </c>
      <c r="BT320" t="str">
        <f>HYPERLINK("https%3A%2F%2Fwww.webofscience.com%2Fwos%2Fwoscc%2Ffull-record%2FWOS:000250832900002","View Full Record in Web of Science")</f>
        <v>View Full Record in Web of Science</v>
      </c>
    </row>
    <row r="321" spans="1:72" x14ac:dyDescent="0.15">
      <c r="A321" t="s">
        <v>72</v>
      </c>
      <c r="B321" t="s">
        <v>5279</v>
      </c>
      <c r="C321" t="s">
        <v>74</v>
      </c>
      <c r="D321" t="s">
        <v>74</v>
      </c>
      <c r="E321" t="s">
        <v>74</v>
      </c>
      <c r="F321" t="s">
        <v>5280</v>
      </c>
      <c r="G321" t="s">
        <v>74</v>
      </c>
      <c r="H321" t="s">
        <v>74</v>
      </c>
      <c r="I321" t="s">
        <v>5281</v>
      </c>
      <c r="J321" t="s">
        <v>5243</v>
      </c>
      <c r="K321" t="s">
        <v>74</v>
      </c>
      <c r="L321" t="s">
        <v>74</v>
      </c>
      <c r="M321" t="s">
        <v>78</v>
      </c>
      <c r="N321" t="s">
        <v>79</v>
      </c>
      <c r="O321" t="s">
        <v>74</v>
      </c>
      <c r="P321" t="s">
        <v>74</v>
      </c>
      <c r="Q321" t="s">
        <v>74</v>
      </c>
      <c r="R321" t="s">
        <v>74</v>
      </c>
      <c r="S321" t="s">
        <v>74</v>
      </c>
      <c r="T321" t="s">
        <v>74</v>
      </c>
      <c r="U321" t="s">
        <v>5282</v>
      </c>
      <c r="V321" t="s">
        <v>5283</v>
      </c>
      <c r="W321" t="s">
        <v>1611</v>
      </c>
      <c r="X321" t="s">
        <v>1436</v>
      </c>
      <c r="Y321" t="s">
        <v>5284</v>
      </c>
      <c r="Z321" t="s">
        <v>5285</v>
      </c>
      <c r="AA321" t="s">
        <v>74</v>
      </c>
      <c r="AB321" t="s">
        <v>5286</v>
      </c>
      <c r="AC321" t="s">
        <v>74</v>
      </c>
      <c r="AD321" t="s">
        <v>74</v>
      </c>
      <c r="AE321" t="s">
        <v>74</v>
      </c>
      <c r="AF321" t="s">
        <v>74</v>
      </c>
      <c r="AG321">
        <v>31</v>
      </c>
      <c r="AH321">
        <v>11</v>
      </c>
      <c r="AI321">
        <v>11</v>
      </c>
      <c r="AJ321">
        <v>1</v>
      </c>
      <c r="AK321">
        <v>2</v>
      </c>
      <c r="AL321" t="s">
        <v>351</v>
      </c>
      <c r="AM321" t="s">
        <v>352</v>
      </c>
      <c r="AN321" t="s">
        <v>353</v>
      </c>
      <c r="AO321" t="s">
        <v>5251</v>
      </c>
      <c r="AP321" t="s">
        <v>74</v>
      </c>
      <c r="AQ321" t="s">
        <v>74</v>
      </c>
      <c r="AR321" t="s">
        <v>5252</v>
      </c>
      <c r="AS321" t="s">
        <v>5253</v>
      </c>
      <c r="AT321" t="s">
        <v>74</v>
      </c>
      <c r="AU321">
        <v>2007</v>
      </c>
      <c r="AV321">
        <v>3</v>
      </c>
      <c r="AW321">
        <v>3</v>
      </c>
      <c r="AX321" t="s">
        <v>74</v>
      </c>
      <c r="AY321" t="s">
        <v>74</v>
      </c>
      <c r="AZ321" t="s">
        <v>74</v>
      </c>
      <c r="BA321" t="s">
        <v>74</v>
      </c>
      <c r="BB321">
        <v>417</v>
      </c>
      <c r="BC321">
        <v>427</v>
      </c>
      <c r="BD321" t="s">
        <v>74</v>
      </c>
      <c r="BE321" t="s">
        <v>5287</v>
      </c>
      <c r="BF321" t="str">
        <f>HYPERLINK("http://dx.doi.org/10.5194/os-3-417-2007","http://dx.doi.org/10.5194/os-3-417-2007")</f>
        <v>http://dx.doi.org/10.5194/os-3-417-2007</v>
      </c>
      <c r="BG321" t="s">
        <v>74</v>
      </c>
      <c r="BH321" t="s">
        <v>74</v>
      </c>
      <c r="BI321">
        <v>11</v>
      </c>
      <c r="BJ321" t="s">
        <v>5212</v>
      </c>
      <c r="BK321" t="s">
        <v>97</v>
      </c>
      <c r="BL321" t="s">
        <v>5212</v>
      </c>
      <c r="BM321" t="s">
        <v>5277</v>
      </c>
      <c r="BN321" t="s">
        <v>74</v>
      </c>
      <c r="BO321" t="s">
        <v>5154</v>
      </c>
      <c r="BP321" t="s">
        <v>74</v>
      </c>
      <c r="BQ321" t="s">
        <v>74</v>
      </c>
      <c r="BR321" t="s">
        <v>100</v>
      </c>
      <c r="BS321" t="s">
        <v>5288</v>
      </c>
      <c r="BT321" t="str">
        <f>HYPERLINK("https%3A%2F%2Fwww.webofscience.com%2Fwos%2Fwoscc%2Ffull-record%2FWOS:000250832900006","View Full Record in Web of Science")</f>
        <v>View Full Record in Web of Science</v>
      </c>
    </row>
    <row r="322" spans="1:72" x14ac:dyDescent="0.15">
      <c r="A322" t="s">
        <v>72</v>
      </c>
      <c r="B322" t="s">
        <v>5289</v>
      </c>
      <c r="C322" t="s">
        <v>74</v>
      </c>
      <c r="D322" t="s">
        <v>74</v>
      </c>
      <c r="E322" t="s">
        <v>74</v>
      </c>
      <c r="F322" t="s">
        <v>5290</v>
      </c>
      <c r="G322" t="s">
        <v>74</v>
      </c>
      <c r="H322" t="s">
        <v>74</v>
      </c>
      <c r="I322" t="s">
        <v>5291</v>
      </c>
      <c r="J322" t="s">
        <v>5243</v>
      </c>
      <c r="K322" t="s">
        <v>74</v>
      </c>
      <c r="L322" t="s">
        <v>74</v>
      </c>
      <c r="M322" t="s">
        <v>78</v>
      </c>
      <c r="N322" t="s">
        <v>79</v>
      </c>
      <c r="O322" t="s">
        <v>74</v>
      </c>
      <c r="P322" t="s">
        <v>74</v>
      </c>
      <c r="Q322" t="s">
        <v>74</v>
      </c>
      <c r="R322" t="s">
        <v>74</v>
      </c>
      <c r="S322" t="s">
        <v>74</v>
      </c>
      <c r="T322" t="s">
        <v>74</v>
      </c>
      <c r="U322" t="s">
        <v>5292</v>
      </c>
      <c r="V322" t="s">
        <v>5293</v>
      </c>
      <c r="W322" t="s">
        <v>5294</v>
      </c>
      <c r="X322" t="s">
        <v>5295</v>
      </c>
      <c r="Y322" t="s">
        <v>5296</v>
      </c>
      <c r="Z322" t="s">
        <v>5297</v>
      </c>
      <c r="AA322" t="s">
        <v>5298</v>
      </c>
      <c r="AB322" t="s">
        <v>5299</v>
      </c>
      <c r="AC322" t="s">
        <v>74</v>
      </c>
      <c r="AD322" t="s">
        <v>74</v>
      </c>
      <c r="AE322" t="s">
        <v>74</v>
      </c>
      <c r="AF322" t="s">
        <v>74</v>
      </c>
      <c r="AG322">
        <v>86</v>
      </c>
      <c r="AH322">
        <v>29</v>
      </c>
      <c r="AI322">
        <v>31</v>
      </c>
      <c r="AJ322">
        <v>1</v>
      </c>
      <c r="AK322">
        <v>9</v>
      </c>
      <c r="AL322" t="s">
        <v>351</v>
      </c>
      <c r="AM322" t="s">
        <v>352</v>
      </c>
      <c r="AN322" t="s">
        <v>353</v>
      </c>
      <c r="AO322" t="s">
        <v>5251</v>
      </c>
      <c r="AP322" t="s">
        <v>74</v>
      </c>
      <c r="AQ322" t="s">
        <v>74</v>
      </c>
      <c r="AR322" t="s">
        <v>5252</v>
      </c>
      <c r="AS322" t="s">
        <v>5253</v>
      </c>
      <c r="AT322" t="s">
        <v>74</v>
      </c>
      <c r="AU322">
        <v>2007</v>
      </c>
      <c r="AV322">
        <v>3</v>
      </c>
      <c r="AW322">
        <v>4</v>
      </c>
      <c r="AX322" t="s">
        <v>74</v>
      </c>
      <c r="AY322" t="s">
        <v>74</v>
      </c>
      <c r="AZ322" t="s">
        <v>74</v>
      </c>
      <c r="BA322" t="s">
        <v>74</v>
      </c>
      <c r="BB322">
        <v>461</v>
      </c>
      <c r="BC322">
        <v>482</v>
      </c>
      <c r="BD322" t="s">
        <v>74</v>
      </c>
      <c r="BE322" t="s">
        <v>5300</v>
      </c>
      <c r="BF322" t="str">
        <f>HYPERLINK("http://dx.doi.org/10.5194/os-3-461-2007","http://dx.doi.org/10.5194/os-3-461-2007")</f>
        <v>http://dx.doi.org/10.5194/os-3-461-2007</v>
      </c>
      <c r="BG322" t="s">
        <v>74</v>
      </c>
      <c r="BH322" t="s">
        <v>74</v>
      </c>
      <c r="BI322">
        <v>22</v>
      </c>
      <c r="BJ322" t="s">
        <v>5212</v>
      </c>
      <c r="BK322" t="s">
        <v>97</v>
      </c>
      <c r="BL322" t="s">
        <v>5212</v>
      </c>
      <c r="BM322" t="s">
        <v>5301</v>
      </c>
      <c r="BN322" t="s">
        <v>74</v>
      </c>
      <c r="BO322" t="s">
        <v>337</v>
      </c>
      <c r="BP322" t="s">
        <v>74</v>
      </c>
      <c r="BQ322" t="s">
        <v>74</v>
      </c>
      <c r="BR322" t="s">
        <v>100</v>
      </c>
      <c r="BS322" t="s">
        <v>5302</v>
      </c>
      <c r="BT322" t="str">
        <f>HYPERLINK("https%3A%2F%2Fwww.webofscience.com%2Fwos%2Fwoscc%2Ffull-record%2FWOS:000253048100002","View Full Record in Web of Science")</f>
        <v>View Full Record in Web of Science</v>
      </c>
    </row>
    <row r="323" spans="1:72" x14ac:dyDescent="0.15">
      <c r="A323" t="s">
        <v>72</v>
      </c>
      <c r="B323" t="s">
        <v>5303</v>
      </c>
      <c r="C323" t="s">
        <v>74</v>
      </c>
      <c r="D323" t="s">
        <v>74</v>
      </c>
      <c r="E323" t="s">
        <v>74</v>
      </c>
      <c r="F323" t="s">
        <v>5304</v>
      </c>
      <c r="G323" t="s">
        <v>74</v>
      </c>
      <c r="H323" t="s">
        <v>74</v>
      </c>
      <c r="I323" t="s">
        <v>5305</v>
      </c>
      <c r="J323" t="s">
        <v>5243</v>
      </c>
      <c r="K323" t="s">
        <v>74</v>
      </c>
      <c r="L323" t="s">
        <v>74</v>
      </c>
      <c r="M323" t="s">
        <v>78</v>
      </c>
      <c r="N323" t="s">
        <v>79</v>
      </c>
      <c r="O323" t="s">
        <v>74</v>
      </c>
      <c r="P323" t="s">
        <v>74</v>
      </c>
      <c r="Q323" t="s">
        <v>74</v>
      </c>
      <c r="R323" t="s">
        <v>74</v>
      </c>
      <c r="S323" t="s">
        <v>74</v>
      </c>
      <c r="T323" t="s">
        <v>74</v>
      </c>
      <c r="U323" t="s">
        <v>5306</v>
      </c>
      <c r="V323" t="s">
        <v>5307</v>
      </c>
      <c r="W323" t="s">
        <v>5308</v>
      </c>
      <c r="X323" t="s">
        <v>5309</v>
      </c>
      <c r="Y323" t="s">
        <v>5310</v>
      </c>
      <c r="Z323" t="s">
        <v>5311</v>
      </c>
      <c r="AA323" t="s">
        <v>5312</v>
      </c>
      <c r="AB323" t="s">
        <v>5313</v>
      </c>
      <c r="AC323" t="s">
        <v>74</v>
      </c>
      <c r="AD323" t="s">
        <v>74</v>
      </c>
      <c r="AE323" t="s">
        <v>74</v>
      </c>
      <c r="AF323" t="s">
        <v>74</v>
      </c>
      <c r="AG323">
        <v>42</v>
      </c>
      <c r="AH323">
        <v>49</v>
      </c>
      <c r="AI323">
        <v>51</v>
      </c>
      <c r="AJ323">
        <v>0</v>
      </c>
      <c r="AK323">
        <v>6</v>
      </c>
      <c r="AL323" t="s">
        <v>351</v>
      </c>
      <c r="AM323" t="s">
        <v>352</v>
      </c>
      <c r="AN323" t="s">
        <v>353</v>
      </c>
      <c r="AO323" t="s">
        <v>5251</v>
      </c>
      <c r="AP323" t="s">
        <v>74</v>
      </c>
      <c r="AQ323" t="s">
        <v>74</v>
      </c>
      <c r="AR323" t="s">
        <v>5252</v>
      </c>
      <c r="AS323" t="s">
        <v>5253</v>
      </c>
      <c r="AT323" t="s">
        <v>74</v>
      </c>
      <c r="AU323">
        <v>2007</v>
      </c>
      <c r="AV323">
        <v>3</v>
      </c>
      <c r="AW323">
        <v>4</v>
      </c>
      <c r="AX323" t="s">
        <v>74</v>
      </c>
      <c r="AY323" t="s">
        <v>74</v>
      </c>
      <c r="AZ323" t="s">
        <v>74</v>
      </c>
      <c r="BA323" t="s">
        <v>74</v>
      </c>
      <c r="BB323">
        <v>491</v>
      </c>
      <c r="BC323">
        <v>507</v>
      </c>
      <c r="BD323" t="s">
        <v>74</v>
      </c>
      <c r="BE323" t="s">
        <v>5314</v>
      </c>
      <c r="BF323" t="str">
        <f>HYPERLINK("http://dx.doi.org/10.5194/os-3-491-2007","http://dx.doi.org/10.5194/os-3-491-2007")</f>
        <v>http://dx.doi.org/10.5194/os-3-491-2007</v>
      </c>
      <c r="BG323" t="s">
        <v>74</v>
      </c>
      <c r="BH323" t="s">
        <v>74</v>
      </c>
      <c r="BI323">
        <v>17</v>
      </c>
      <c r="BJ323" t="s">
        <v>5212</v>
      </c>
      <c r="BK323" t="s">
        <v>97</v>
      </c>
      <c r="BL323" t="s">
        <v>5212</v>
      </c>
      <c r="BM323" t="s">
        <v>5301</v>
      </c>
      <c r="BN323" t="s">
        <v>74</v>
      </c>
      <c r="BO323" t="s">
        <v>337</v>
      </c>
      <c r="BP323" t="s">
        <v>74</v>
      </c>
      <c r="BQ323" t="s">
        <v>74</v>
      </c>
      <c r="BR323" t="s">
        <v>100</v>
      </c>
      <c r="BS323" t="s">
        <v>5315</v>
      </c>
      <c r="BT323" t="str">
        <f>HYPERLINK("https%3A%2F%2Fwww.webofscience.com%2Fwos%2Fwoscc%2Ffull-record%2FWOS:000253048100005","View Full Record in Web of Science")</f>
        <v>View Full Record in Web of Science</v>
      </c>
    </row>
    <row r="324" spans="1:72" x14ac:dyDescent="0.15">
      <c r="A324" t="s">
        <v>241</v>
      </c>
      <c r="B324" t="s">
        <v>5316</v>
      </c>
      <c r="C324" t="s">
        <v>74</v>
      </c>
      <c r="D324" t="s">
        <v>74</v>
      </c>
      <c r="E324" t="s">
        <v>2998</v>
      </c>
      <c r="F324" t="s">
        <v>5317</v>
      </c>
      <c r="G324" t="s">
        <v>74</v>
      </c>
      <c r="H324" t="s">
        <v>74</v>
      </c>
      <c r="I324" t="s">
        <v>5318</v>
      </c>
      <c r="J324" t="s">
        <v>5319</v>
      </c>
      <c r="K324" t="s">
        <v>74</v>
      </c>
      <c r="L324" t="s">
        <v>74</v>
      </c>
      <c r="M324" t="s">
        <v>78</v>
      </c>
      <c r="N324" t="s">
        <v>248</v>
      </c>
      <c r="O324" t="s">
        <v>5320</v>
      </c>
      <c r="P324" t="s">
        <v>5321</v>
      </c>
      <c r="Q324" t="s">
        <v>5322</v>
      </c>
      <c r="R324" t="s">
        <v>74</v>
      </c>
      <c r="S324" t="s">
        <v>74</v>
      </c>
      <c r="T324" t="s">
        <v>5323</v>
      </c>
      <c r="U324" t="s">
        <v>5324</v>
      </c>
      <c r="V324" t="s">
        <v>5325</v>
      </c>
      <c r="W324" t="s">
        <v>5326</v>
      </c>
      <c r="X324" t="s">
        <v>5327</v>
      </c>
      <c r="Y324" t="s">
        <v>5328</v>
      </c>
      <c r="Z324" t="s">
        <v>5329</v>
      </c>
      <c r="AA324" t="s">
        <v>74</v>
      </c>
      <c r="AB324" t="s">
        <v>5330</v>
      </c>
      <c r="AC324" t="s">
        <v>74</v>
      </c>
      <c r="AD324" t="s">
        <v>74</v>
      </c>
      <c r="AE324" t="s">
        <v>74</v>
      </c>
      <c r="AF324" t="s">
        <v>74</v>
      </c>
      <c r="AG324">
        <v>24</v>
      </c>
      <c r="AH324">
        <v>0</v>
      </c>
      <c r="AI324">
        <v>0</v>
      </c>
      <c r="AJ324">
        <v>0</v>
      </c>
      <c r="AK324">
        <v>3</v>
      </c>
      <c r="AL324" t="s">
        <v>2998</v>
      </c>
      <c r="AM324" t="s">
        <v>678</v>
      </c>
      <c r="AN324" t="s">
        <v>2999</v>
      </c>
      <c r="AO324" t="s">
        <v>74</v>
      </c>
      <c r="AP324" t="s">
        <v>74</v>
      </c>
      <c r="AQ324" t="s">
        <v>5331</v>
      </c>
      <c r="AR324" t="s">
        <v>74</v>
      </c>
      <c r="AS324" t="s">
        <v>74</v>
      </c>
      <c r="AT324" t="s">
        <v>74</v>
      </c>
      <c r="AU324">
        <v>2007</v>
      </c>
      <c r="AV324" t="s">
        <v>74</v>
      </c>
      <c r="AW324" t="s">
        <v>74</v>
      </c>
      <c r="AX324" t="s">
        <v>74</v>
      </c>
      <c r="AY324" t="s">
        <v>74</v>
      </c>
      <c r="AZ324" t="s">
        <v>74</v>
      </c>
      <c r="BA324" t="s">
        <v>74</v>
      </c>
      <c r="BB324">
        <v>1286</v>
      </c>
      <c r="BC324">
        <v>1291</v>
      </c>
      <c r="BD324" t="s">
        <v>74</v>
      </c>
      <c r="BE324" t="s">
        <v>74</v>
      </c>
      <c r="BF324" t="s">
        <v>74</v>
      </c>
      <c r="BG324" t="s">
        <v>74</v>
      </c>
      <c r="BH324" t="s">
        <v>74</v>
      </c>
      <c r="BI324">
        <v>6</v>
      </c>
      <c r="BJ324" t="s">
        <v>5332</v>
      </c>
      <c r="BK324" t="s">
        <v>266</v>
      </c>
      <c r="BL324" t="s">
        <v>5333</v>
      </c>
      <c r="BM324" t="s">
        <v>5334</v>
      </c>
      <c r="BN324" t="s">
        <v>74</v>
      </c>
      <c r="BO324" t="s">
        <v>74</v>
      </c>
      <c r="BP324" t="s">
        <v>74</v>
      </c>
      <c r="BQ324" t="s">
        <v>74</v>
      </c>
      <c r="BR324" t="s">
        <v>100</v>
      </c>
      <c r="BS324" t="s">
        <v>5335</v>
      </c>
      <c r="BT324" t="str">
        <f>HYPERLINK("https%3A%2F%2Fwww.webofscience.com%2Fwos%2Fwoscc%2Ffull-record%2FWOS:000253702200244","View Full Record in Web of Science")</f>
        <v>View Full Record in Web of Science</v>
      </c>
    </row>
    <row r="325" spans="1:72" x14ac:dyDescent="0.15">
      <c r="A325" t="s">
        <v>72</v>
      </c>
      <c r="B325" t="s">
        <v>5336</v>
      </c>
      <c r="C325" t="s">
        <v>74</v>
      </c>
      <c r="D325" t="s">
        <v>74</v>
      </c>
      <c r="E325" t="s">
        <v>74</v>
      </c>
      <c r="F325" t="s">
        <v>5337</v>
      </c>
      <c r="G325" t="s">
        <v>74</v>
      </c>
      <c r="H325" t="s">
        <v>74</v>
      </c>
      <c r="I325" t="s">
        <v>5338</v>
      </c>
      <c r="J325" t="s">
        <v>5339</v>
      </c>
      <c r="K325" t="s">
        <v>74</v>
      </c>
      <c r="L325" t="s">
        <v>74</v>
      </c>
      <c r="M325" t="s">
        <v>78</v>
      </c>
      <c r="N325" t="s">
        <v>79</v>
      </c>
      <c r="O325" t="s">
        <v>74</v>
      </c>
      <c r="P325" t="s">
        <v>74</v>
      </c>
      <c r="Q325" t="s">
        <v>74</v>
      </c>
      <c r="R325" t="s">
        <v>74</v>
      </c>
      <c r="S325" t="s">
        <v>74</v>
      </c>
      <c r="T325" t="s">
        <v>74</v>
      </c>
      <c r="U325" t="s">
        <v>5340</v>
      </c>
      <c r="V325" t="s">
        <v>5341</v>
      </c>
      <c r="W325" t="s">
        <v>5342</v>
      </c>
      <c r="X325" t="s">
        <v>5343</v>
      </c>
      <c r="Y325" t="s">
        <v>5344</v>
      </c>
      <c r="Z325" t="s">
        <v>5345</v>
      </c>
      <c r="AA325" t="s">
        <v>5346</v>
      </c>
      <c r="AB325" t="s">
        <v>5347</v>
      </c>
      <c r="AC325" t="s">
        <v>5348</v>
      </c>
      <c r="AD325" t="s">
        <v>1254</v>
      </c>
      <c r="AE325" t="s">
        <v>74</v>
      </c>
      <c r="AF325" t="s">
        <v>74</v>
      </c>
      <c r="AG325">
        <v>43</v>
      </c>
      <c r="AH325">
        <v>265</v>
      </c>
      <c r="AI325">
        <v>294</v>
      </c>
      <c r="AJ325">
        <v>2</v>
      </c>
      <c r="AK325">
        <v>69</v>
      </c>
      <c r="AL325" t="s">
        <v>817</v>
      </c>
      <c r="AM325" t="s">
        <v>818</v>
      </c>
      <c r="AN325" t="s">
        <v>819</v>
      </c>
      <c r="AO325" t="s">
        <v>5349</v>
      </c>
      <c r="AP325" t="s">
        <v>74</v>
      </c>
      <c r="AQ325" t="s">
        <v>74</v>
      </c>
      <c r="AR325" t="s">
        <v>5350</v>
      </c>
      <c r="AS325" t="s">
        <v>5351</v>
      </c>
      <c r="AT325" t="s">
        <v>74</v>
      </c>
      <c r="AU325">
        <v>2007</v>
      </c>
      <c r="AV325">
        <v>38</v>
      </c>
      <c r="AW325">
        <v>1</v>
      </c>
      <c r="AX325" t="s">
        <v>74</v>
      </c>
      <c r="AY325" t="s">
        <v>74</v>
      </c>
      <c r="AZ325" t="s">
        <v>74</v>
      </c>
      <c r="BA325" t="s">
        <v>74</v>
      </c>
      <c r="BB325">
        <v>16</v>
      </c>
      <c r="BC325">
        <v>27</v>
      </c>
      <c r="BD325" t="s">
        <v>74</v>
      </c>
      <c r="BE325" t="s">
        <v>5352</v>
      </c>
      <c r="BF325" t="str">
        <f>HYPERLINK("http://dx.doi.org/10.1016/j.orggeochem.2006.09.013","http://dx.doi.org/10.1016/j.orggeochem.2006.09.013")</f>
        <v>http://dx.doi.org/10.1016/j.orggeochem.2006.09.013</v>
      </c>
      <c r="BG325" t="s">
        <v>74</v>
      </c>
      <c r="BH325" t="s">
        <v>74</v>
      </c>
      <c r="BI325">
        <v>12</v>
      </c>
      <c r="BJ325" t="s">
        <v>865</v>
      </c>
      <c r="BK325" t="s">
        <v>97</v>
      </c>
      <c r="BL325" t="s">
        <v>865</v>
      </c>
      <c r="BM325" t="s">
        <v>5353</v>
      </c>
      <c r="BN325" t="s">
        <v>74</v>
      </c>
      <c r="BO325" t="s">
        <v>74</v>
      </c>
      <c r="BP325" t="s">
        <v>74</v>
      </c>
      <c r="BQ325" t="s">
        <v>74</v>
      </c>
      <c r="BR325" t="s">
        <v>100</v>
      </c>
      <c r="BS325" t="s">
        <v>5354</v>
      </c>
      <c r="BT325" t="str">
        <f>HYPERLINK("https%3A%2F%2Fwww.webofscience.com%2Fwos%2Fwoscc%2Ffull-record%2FWOS:000244350700002","View Full Record in Web of Science")</f>
        <v>View Full Record in Web of Science</v>
      </c>
    </row>
    <row r="326" spans="1:72" x14ac:dyDescent="0.15">
      <c r="A326" t="s">
        <v>72</v>
      </c>
      <c r="B326" t="s">
        <v>5355</v>
      </c>
      <c r="C326" t="s">
        <v>74</v>
      </c>
      <c r="D326" t="s">
        <v>74</v>
      </c>
      <c r="E326" t="s">
        <v>74</v>
      </c>
      <c r="F326" t="s">
        <v>5356</v>
      </c>
      <c r="G326" t="s">
        <v>74</v>
      </c>
      <c r="H326" t="s">
        <v>74</v>
      </c>
      <c r="I326" t="s">
        <v>5357</v>
      </c>
      <c r="J326" t="s">
        <v>5339</v>
      </c>
      <c r="K326" t="s">
        <v>74</v>
      </c>
      <c r="L326" t="s">
        <v>74</v>
      </c>
      <c r="M326" t="s">
        <v>78</v>
      </c>
      <c r="N326" t="s">
        <v>79</v>
      </c>
      <c r="O326" t="s">
        <v>74</v>
      </c>
      <c r="P326" t="s">
        <v>74</v>
      </c>
      <c r="Q326" t="s">
        <v>74</v>
      </c>
      <c r="R326" t="s">
        <v>74</v>
      </c>
      <c r="S326" t="s">
        <v>74</v>
      </c>
      <c r="T326" t="s">
        <v>74</v>
      </c>
      <c r="U326" t="s">
        <v>5358</v>
      </c>
      <c r="V326" t="s">
        <v>5359</v>
      </c>
      <c r="W326" t="s">
        <v>5360</v>
      </c>
      <c r="X326" t="s">
        <v>5361</v>
      </c>
      <c r="Y326" t="s">
        <v>5362</v>
      </c>
      <c r="Z326" t="s">
        <v>5363</v>
      </c>
      <c r="AA326" t="s">
        <v>5364</v>
      </c>
      <c r="AB326" t="s">
        <v>5365</v>
      </c>
      <c r="AC326" t="s">
        <v>74</v>
      </c>
      <c r="AD326" t="s">
        <v>74</v>
      </c>
      <c r="AE326" t="s">
        <v>74</v>
      </c>
      <c r="AF326" t="s">
        <v>74</v>
      </c>
      <c r="AG326">
        <v>12</v>
      </c>
      <c r="AH326">
        <v>9</v>
      </c>
      <c r="AI326">
        <v>11</v>
      </c>
      <c r="AJ326">
        <v>2</v>
      </c>
      <c r="AK326">
        <v>11</v>
      </c>
      <c r="AL326" t="s">
        <v>817</v>
      </c>
      <c r="AM326" t="s">
        <v>818</v>
      </c>
      <c r="AN326" t="s">
        <v>819</v>
      </c>
      <c r="AO326" t="s">
        <v>5349</v>
      </c>
      <c r="AP326" t="s">
        <v>74</v>
      </c>
      <c r="AQ326" t="s">
        <v>74</v>
      </c>
      <c r="AR326" t="s">
        <v>5350</v>
      </c>
      <c r="AS326" t="s">
        <v>5351</v>
      </c>
      <c r="AT326" t="s">
        <v>74</v>
      </c>
      <c r="AU326">
        <v>2007</v>
      </c>
      <c r="AV326">
        <v>38</v>
      </c>
      <c r="AW326">
        <v>12</v>
      </c>
      <c r="AX326" t="s">
        <v>74</v>
      </c>
      <c r="AY326" t="s">
        <v>74</v>
      </c>
      <c r="AZ326" t="s">
        <v>74</v>
      </c>
      <c r="BA326" t="s">
        <v>74</v>
      </c>
      <c r="BB326">
        <v>2131</v>
      </c>
      <c r="BC326">
        <v>2134</v>
      </c>
      <c r="BD326" t="s">
        <v>74</v>
      </c>
      <c r="BE326" t="s">
        <v>5366</v>
      </c>
      <c r="BF326" t="str">
        <f>HYPERLINK("http://dx.doi.org/10.1016/j.orggeochem.2007.07.010","http://dx.doi.org/10.1016/j.orggeochem.2007.07.010")</f>
        <v>http://dx.doi.org/10.1016/j.orggeochem.2007.07.010</v>
      </c>
      <c r="BG326" t="s">
        <v>74</v>
      </c>
      <c r="BH326" t="s">
        <v>74</v>
      </c>
      <c r="BI326">
        <v>4</v>
      </c>
      <c r="BJ326" t="s">
        <v>865</v>
      </c>
      <c r="BK326" t="s">
        <v>97</v>
      </c>
      <c r="BL326" t="s">
        <v>865</v>
      </c>
      <c r="BM326" t="s">
        <v>5367</v>
      </c>
      <c r="BN326" t="s">
        <v>74</v>
      </c>
      <c r="BO326" t="s">
        <v>74</v>
      </c>
      <c r="BP326" t="s">
        <v>74</v>
      </c>
      <c r="BQ326" t="s">
        <v>74</v>
      </c>
      <c r="BR326" t="s">
        <v>100</v>
      </c>
      <c r="BS326" t="s">
        <v>5368</v>
      </c>
      <c r="BT326" t="str">
        <f>HYPERLINK("https%3A%2F%2Fwww.webofscience.com%2Fwos%2Fwoscc%2Ffull-record%2FWOS:000251862600010","View Full Record in Web of Science")</f>
        <v>View Full Record in Web of Science</v>
      </c>
    </row>
    <row r="327" spans="1:72" x14ac:dyDescent="0.15">
      <c r="A327" t="s">
        <v>72</v>
      </c>
      <c r="B327" t="s">
        <v>5369</v>
      </c>
      <c r="C327" t="s">
        <v>74</v>
      </c>
      <c r="D327" t="s">
        <v>74</v>
      </c>
      <c r="E327" t="s">
        <v>74</v>
      </c>
      <c r="F327" t="s">
        <v>5370</v>
      </c>
      <c r="G327" t="s">
        <v>74</v>
      </c>
      <c r="H327" t="s">
        <v>74</v>
      </c>
      <c r="I327" t="s">
        <v>5371</v>
      </c>
      <c r="J327" t="s">
        <v>5372</v>
      </c>
      <c r="K327" t="s">
        <v>74</v>
      </c>
      <c r="L327" t="s">
        <v>74</v>
      </c>
      <c r="M327" t="s">
        <v>78</v>
      </c>
      <c r="N327" t="s">
        <v>79</v>
      </c>
      <c r="O327" t="s">
        <v>74</v>
      </c>
      <c r="P327" t="s">
        <v>74</v>
      </c>
      <c r="Q327" t="s">
        <v>74</v>
      </c>
      <c r="R327" t="s">
        <v>74</v>
      </c>
      <c r="S327" t="s">
        <v>74</v>
      </c>
      <c r="T327" t="s">
        <v>5373</v>
      </c>
      <c r="U327" t="s">
        <v>5374</v>
      </c>
      <c r="V327" t="s">
        <v>5375</v>
      </c>
      <c r="W327" t="s">
        <v>5376</v>
      </c>
      <c r="X327" t="s">
        <v>5377</v>
      </c>
      <c r="Y327" t="s">
        <v>5378</v>
      </c>
      <c r="Z327" t="s">
        <v>5379</v>
      </c>
      <c r="AA327" t="s">
        <v>74</v>
      </c>
      <c r="AB327" t="s">
        <v>74</v>
      </c>
      <c r="AC327" t="s">
        <v>74</v>
      </c>
      <c r="AD327" t="s">
        <v>74</v>
      </c>
      <c r="AE327" t="s">
        <v>74</v>
      </c>
      <c r="AF327" t="s">
        <v>74</v>
      </c>
      <c r="AG327">
        <v>37</v>
      </c>
      <c r="AH327">
        <v>5</v>
      </c>
      <c r="AI327">
        <v>9</v>
      </c>
      <c r="AJ327">
        <v>1</v>
      </c>
      <c r="AK327">
        <v>4</v>
      </c>
      <c r="AL327" t="s">
        <v>5380</v>
      </c>
      <c r="AM327" t="s">
        <v>5381</v>
      </c>
      <c r="AN327" t="s">
        <v>5382</v>
      </c>
      <c r="AO327" t="s">
        <v>5383</v>
      </c>
      <c r="AP327" t="s">
        <v>74</v>
      </c>
      <c r="AQ327" t="s">
        <v>74</v>
      </c>
      <c r="AR327" t="s">
        <v>5384</v>
      </c>
      <c r="AS327" t="s">
        <v>5385</v>
      </c>
      <c r="AT327" t="s">
        <v>74</v>
      </c>
      <c r="AU327">
        <v>2007</v>
      </c>
      <c r="AV327">
        <v>18</v>
      </c>
      <c r="AW327">
        <v>4</v>
      </c>
      <c r="AX327" t="s">
        <v>74</v>
      </c>
      <c r="AY327" t="s">
        <v>74</v>
      </c>
      <c r="AZ327" t="s">
        <v>74</v>
      </c>
      <c r="BA327" t="s">
        <v>74</v>
      </c>
      <c r="BB327">
        <v>553</v>
      </c>
      <c r="BC327">
        <v>561</v>
      </c>
      <c r="BD327" t="s">
        <v>74</v>
      </c>
      <c r="BE327" t="s">
        <v>74</v>
      </c>
      <c r="BF327" t="s">
        <v>74</v>
      </c>
      <c r="BG327" t="s">
        <v>74</v>
      </c>
      <c r="BH327" t="s">
        <v>74</v>
      </c>
      <c r="BI327">
        <v>9</v>
      </c>
      <c r="BJ327" t="s">
        <v>2264</v>
      </c>
      <c r="BK327" t="s">
        <v>97</v>
      </c>
      <c r="BL327" t="s">
        <v>596</v>
      </c>
      <c r="BM327" t="s">
        <v>5386</v>
      </c>
      <c r="BN327" t="s">
        <v>74</v>
      </c>
      <c r="BO327" t="s">
        <v>74</v>
      </c>
      <c r="BP327" t="s">
        <v>74</v>
      </c>
      <c r="BQ327" t="s">
        <v>74</v>
      </c>
      <c r="BR327" t="s">
        <v>100</v>
      </c>
      <c r="BS327" t="s">
        <v>5387</v>
      </c>
      <c r="BT327" t="str">
        <f>HYPERLINK("https%3A%2F%2Fwww.webofscience.com%2Fwos%2Fwoscc%2Ffull-record%2FWOS:000252231000007","View Full Record in Web of Science")</f>
        <v>View Full Record in Web of Science</v>
      </c>
    </row>
    <row r="328" spans="1:72" x14ac:dyDescent="0.15">
      <c r="A328" t="s">
        <v>72</v>
      </c>
      <c r="B328" t="s">
        <v>5388</v>
      </c>
      <c r="C328" t="s">
        <v>74</v>
      </c>
      <c r="D328" t="s">
        <v>74</v>
      </c>
      <c r="E328" t="s">
        <v>74</v>
      </c>
      <c r="F328" t="s">
        <v>5389</v>
      </c>
      <c r="G328" t="s">
        <v>74</v>
      </c>
      <c r="H328" t="s">
        <v>74</v>
      </c>
      <c r="I328" t="s">
        <v>5390</v>
      </c>
      <c r="J328" t="s">
        <v>5391</v>
      </c>
      <c r="K328" t="s">
        <v>74</v>
      </c>
      <c r="L328" t="s">
        <v>74</v>
      </c>
      <c r="M328" t="s">
        <v>78</v>
      </c>
      <c r="N328" t="s">
        <v>366</v>
      </c>
      <c r="O328" t="s">
        <v>74</v>
      </c>
      <c r="P328" t="s">
        <v>74</v>
      </c>
      <c r="Q328" t="s">
        <v>74</v>
      </c>
      <c r="R328" t="s">
        <v>74</v>
      </c>
      <c r="S328" t="s">
        <v>74</v>
      </c>
      <c r="T328" t="s">
        <v>74</v>
      </c>
      <c r="U328" t="s">
        <v>5392</v>
      </c>
      <c r="V328" t="s">
        <v>5393</v>
      </c>
      <c r="W328" t="s">
        <v>5394</v>
      </c>
      <c r="X328" t="s">
        <v>5395</v>
      </c>
      <c r="Y328" t="s">
        <v>5396</v>
      </c>
      <c r="Z328" t="s">
        <v>74</v>
      </c>
      <c r="AA328" t="s">
        <v>5397</v>
      </c>
      <c r="AB328" t="s">
        <v>5398</v>
      </c>
      <c r="AC328" t="s">
        <v>74</v>
      </c>
      <c r="AD328" t="s">
        <v>74</v>
      </c>
      <c r="AE328" t="s">
        <v>74</v>
      </c>
      <c r="AF328" t="s">
        <v>74</v>
      </c>
      <c r="AG328">
        <v>89</v>
      </c>
      <c r="AH328">
        <v>28</v>
      </c>
      <c r="AI328">
        <v>35</v>
      </c>
      <c r="AJ328">
        <v>2</v>
      </c>
      <c r="AK328">
        <v>59</v>
      </c>
      <c r="AL328" t="s">
        <v>5399</v>
      </c>
      <c r="AM328" t="s">
        <v>1197</v>
      </c>
      <c r="AN328" t="s">
        <v>5400</v>
      </c>
      <c r="AO328" t="s">
        <v>5401</v>
      </c>
      <c r="AP328" t="s">
        <v>5402</v>
      </c>
      <c r="AQ328" t="s">
        <v>74</v>
      </c>
      <c r="AR328" t="s">
        <v>5403</v>
      </c>
      <c r="AS328" t="s">
        <v>5404</v>
      </c>
      <c r="AT328" t="s">
        <v>74</v>
      </c>
      <c r="AU328">
        <v>2007</v>
      </c>
      <c r="AV328">
        <v>6</v>
      </c>
      <c r="AW328">
        <v>3</v>
      </c>
      <c r="AX328" t="s">
        <v>74</v>
      </c>
      <c r="AY328" t="s">
        <v>74</v>
      </c>
      <c r="AZ328" t="s">
        <v>74</v>
      </c>
      <c r="BA328" t="s">
        <v>74</v>
      </c>
      <c r="BB328">
        <v>301</v>
      </c>
      <c r="BC328">
        <v>310</v>
      </c>
      <c r="BD328" t="s">
        <v>74</v>
      </c>
      <c r="BE328" t="s">
        <v>5405</v>
      </c>
      <c r="BF328" t="str">
        <f>HYPERLINK("http://dx.doi.org/10.1039/B700022g","http://dx.doi.org/10.1039/B700022g")</f>
        <v>http://dx.doi.org/10.1039/B700022g</v>
      </c>
      <c r="BG328" t="s">
        <v>74</v>
      </c>
      <c r="BH328" t="s">
        <v>74</v>
      </c>
      <c r="BI328">
        <v>10</v>
      </c>
      <c r="BJ328" t="s">
        <v>5406</v>
      </c>
      <c r="BK328" t="s">
        <v>97</v>
      </c>
      <c r="BL328" t="s">
        <v>5407</v>
      </c>
      <c r="BM328" t="s">
        <v>5408</v>
      </c>
      <c r="BN328">
        <v>17344964</v>
      </c>
      <c r="BO328" t="s">
        <v>1384</v>
      </c>
      <c r="BP328" t="s">
        <v>74</v>
      </c>
      <c r="BQ328" t="s">
        <v>74</v>
      </c>
      <c r="BR328" t="s">
        <v>100</v>
      </c>
      <c r="BS328" t="s">
        <v>5409</v>
      </c>
      <c r="BT328" t="str">
        <f>HYPERLINK("https%3A%2F%2Fwww.webofscience.com%2Fwos%2Fwoscc%2Ffull-record%2FWOS:000244739000019","View Full Record in Web of Science")</f>
        <v>View Full Record in Web of Science</v>
      </c>
    </row>
    <row r="329" spans="1:72" x14ac:dyDescent="0.15">
      <c r="A329" t="s">
        <v>72</v>
      </c>
      <c r="B329" t="s">
        <v>5410</v>
      </c>
      <c r="C329" t="s">
        <v>74</v>
      </c>
      <c r="D329" t="s">
        <v>74</v>
      </c>
      <c r="E329" t="s">
        <v>74</v>
      </c>
      <c r="F329" t="s">
        <v>5411</v>
      </c>
      <c r="G329" t="s">
        <v>74</v>
      </c>
      <c r="H329" t="s">
        <v>74</v>
      </c>
      <c r="I329" t="s">
        <v>5412</v>
      </c>
      <c r="J329" t="s">
        <v>5413</v>
      </c>
      <c r="K329" t="s">
        <v>74</v>
      </c>
      <c r="L329" t="s">
        <v>74</v>
      </c>
      <c r="M329" t="s">
        <v>78</v>
      </c>
      <c r="N329" t="s">
        <v>79</v>
      </c>
      <c r="O329" t="s">
        <v>74</v>
      </c>
      <c r="P329" t="s">
        <v>74</v>
      </c>
      <c r="Q329" t="s">
        <v>74</v>
      </c>
      <c r="R329" t="s">
        <v>74</v>
      </c>
      <c r="S329" t="s">
        <v>74</v>
      </c>
      <c r="T329" t="s">
        <v>5414</v>
      </c>
      <c r="U329" t="s">
        <v>5415</v>
      </c>
      <c r="V329" t="s">
        <v>5416</v>
      </c>
      <c r="W329" t="s">
        <v>5417</v>
      </c>
      <c r="X329" t="s">
        <v>5418</v>
      </c>
      <c r="Y329" t="s">
        <v>5419</v>
      </c>
      <c r="Z329" t="s">
        <v>5420</v>
      </c>
      <c r="AA329" t="s">
        <v>5421</v>
      </c>
      <c r="AB329" t="s">
        <v>5422</v>
      </c>
      <c r="AC329" t="s">
        <v>5423</v>
      </c>
      <c r="AD329" t="s">
        <v>1254</v>
      </c>
      <c r="AE329" t="s">
        <v>74</v>
      </c>
      <c r="AF329" t="s">
        <v>74</v>
      </c>
      <c r="AG329">
        <v>32</v>
      </c>
      <c r="AH329">
        <v>18</v>
      </c>
      <c r="AI329">
        <v>19</v>
      </c>
      <c r="AJ329">
        <v>0</v>
      </c>
      <c r="AK329">
        <v>6</v>
      </c>
      <c r="AL329" t="s">
        <v>902</v>
      </c>
      <c r="AM329" t="s">
        <v>903</v>
      </c>
      <c r="AN329" t="s">
        <v>5098</v>
      </c>
      <c r="AO329" t="s">
        <v>5424</v>
      </c>
      <c r="AP329" t="s">
        <v>5425</v>
      </c>
      <c r="AQ329" t="s">
        <v>74</v>
      </c>
      <c r="AR329" t="s">
        <v>5426</v>
      </c>
      <c r="AS329" t="s">
        <v>5427</v>
      </c>
      <c r="AT329" t="s">
        <v>2639</v>
      </c>
      <c r="AU329">
        <v>2007</v>
      </c>
      <c r="AV329">
        <v>373</v>
      </c>
      <c r="AW329" t="s">
        <v>74</v>
      </c>
      <c r="AX329" t="s">
        <v>74</v>
      </c>
      <c r="AY329" t="s">
        <v>74</v>
      </c>
      <c r="AZ329" t="s">
        <v>74</v>
      </c>
      <c r="BA329" t="s">
        <v>74</v>
      </c>
      <c r="BB329">
        <v>215</v>
      </c>
      <c r="BC329">
        <v>230</v>
      </c>
      <c r="BD329" t="s">
        <v>74</v>
      </c>
      <c r="BE329" t="s">
        <v>5428</v>
      </c>
      <c r="BF329" t="str">
        <f>HYPERLINK("http://dx.doi.org/10.1016/j.physa.2006.05.001","http://dx.doi.org/10.1016/j.physa.2006.05.001")</f>
        <v>http://dx.doi.org/10.1016/j.physa.2006.05.001</v>
      </c>
      <c r="BG329" t="s">
        <v>74</v>
      </c>
      <c r="BH329" t="s">
        <v>74</v>
      </c>
      <c r="BI329">
        <v>16</v>
      </c>
      <c r="BJ329" t="s">
        <v>5429</v>
      </c>
      <c r="BK329" t="s">
        <v>97</v>
      </c>
      <c r="BL329" t="s">
        <v>267</v>
      </c>
      <c r="BM329" t="s">
        <v>5430</v>
      </c>
      <c r="BN329" t="s">
        <v>74</v>
      </c>
      <c r="BO329" t="s">
        <v>5431</v>
      </c>
      <c r="BP329" t="s">
        <v>74</v>
      </c>
      <c r="BQ329" t="s">
        <v>74</v>
      </c>
      <c r="BR329" t="s">
        <v>100</v>
      </c>
      <c r="BS329" t="s">
        <v>5432</v>
      </c>
      <c r="BT329" t="str">
        <f>HYPERLINK("https%3A%2F%2Fwww.webofscience.com%2Fwos%2Fwoscc%2Ffull-record%2FWOS:000242316000018","View Full Record in Web of Science")</f>
        <v>View Full Record in Web of Science</v>
      </c>
    </row>
    <row r="330" spans="1:72" x14ac:dyDescent="0.15">
      <c r="A330" t="s">
        <v>72</v>
      </c>
      <c r="B330" t="s">
        <v>5433</v>
      </c>
      <c r="C330" t="s">
        <v>74</v>
      </c>
      <c r="D330" t="s">
        <v>74</v>
      </c>
      <c r="E330" t="s">
        <v>74</v>
      </c>
      <c r="F330" t="s">
        <v>5434</v>
      </c>
      <c r="G330" t="s">
        <v>74</v>
      </c>
      <c r="H330" t="s">
        <v>74</v>
      </c>
      <c r="I330" t="s">
        <v>5435</v>
      </c>
      <c r="J330" t="s">
        <v>5436</v>
      </c>
      <c r="K330" t="s">
        <v>74</v>
      </c>
      <c r="L330" t="s">
        <v>74</v>
      </c>
      <c r="M330" t="s">
        <v>78</v>
      </c>
      <c r="N330" t="s">
        <v>366</v>
      </c>
      <c r="O330" t="s">
        <v>74</v>
      </c>
      <c r="P330" t="s">
        <v>74</v>
      </c>
      <c r="Q330" t="s">
        <v>74</v>
      </c>
      <c r="R330" t="s">
        <v>74</v>
      </c>
      <c r="S330" t="s">
        <v>74</v>
      </c>
      <c r="T330" t="s">
        <v>74</v>
      </c>
      <c r="U330" t="s">
        <v>5437</v>
      </c>
      <c r="V330" t="s">
        <v>5438</v>
      </c>
      <c r="W330" t="s">
        <v>5439</v>
      </c>
      <c r="X330" t="s">
        <v>5440</v>
      </c>
      <c r="Y330" t="s">
        <v>5441</v>
      </c>
      <c r="Z330" t="s">
        <v>74</v>
      </c>
      <c r="AA330" t="s">
        <v>74</v>
      </c>
      <c r="AB330" t="s">
        <v>74</v>
      </c>
      <c r="AC330" t="s">
        <v>74</v>
      </c>
      <c r="AD330" t="s">
        <v>74</v>
      </c>
      <c r="AE330" t="s">
        <v>74</v>
      </c>
      <c r="AF330" t="s">
        <v>74</v>
      </c>
      <c r="AG330">
        <v>120</v>
      </c>
      <c r="AH330">
        <v>13</v>
      </c>
      <c r="AI330">
        <v>15</v>
      </c>
      <c r="AJ330">
        <v>0</v>
      </c>
      <c r="AK330">
        <v>1</v>
      </c>
      <c r="AL330" t="s">
        <v>5442</v>
      </c>
      <c r="AM330" t="s">
        <v>5443</v>
      </c>
      <c r="AN330" t="s">
        <v>5444</v>
      </c>
      <c r="AO330" t="s">
        <v>5445</v>
      </c>
      <c r="AP330" t="s">
        <v>5446</v>
      </c>
      <c r="AQ330" t="s">
        <v>74</v>
      </c>
      <c r="AR330" t="s">
        <v>5447</v>
      </c>
      <c r="AS330" t="s">
        <v>5448</v>
      </c>
      <c r="AT330" t="s">
        <v>661</v>
      </c>
      <c r="AU330">
        <v>2007</v>
      </c>
      <c r="AV330">
        <v>75</v>
      </c>
      <c r="AW330">
        <v>2</v>
      </c>
      <c r="AX330" t="s">
        <v>74</v>
      </c>
      <c r="AY330" t="s">
        <v>74</v>
      </c>
      <c r="AZ330" t="s">
        <v>74</v>
      </c>
      <c r="BA330" t="s">
        <v>74</v>
      </c>
      <c r="BB330" t="s">
        <v>74</v>
      </c>
      <c r="BC330" t="s">
        <v>74</v>
      </c>
      <c r="BD330">
        <v>24011</v>
      </c>
      <c r="BE330" t="s">
        <v>5449</v>
      </c>
      <c r="BF330" t="str">
        <f>HYPERLINK("http://dx.doi.org/10.1103/PhysRevD.75.024011","http://dx.doi.org/10.1103/PhysRevD.75.024011")</f>
        <v>http://dx.doi.org/10.1103/PhysRevD.75.024011</v>
      </c>
      <c r="BG330" t="s">
        <v>74</v>
      </c>
      <c r="BH330" t="s">
        <v>74</v>
      </c>
      <c r="BI330">
        <v>10</v>
      </c>
      <c r="BJ330" t="s">
        <v>5450</v>
      </c>
      <c r="BK330" t="s">
        <v>97</v>
      </c>
      <c r="BL330" t="s">
        <v>2494</v>
      </c>
      <c r="BM330" t="s">
        <v>5451</v>
      </c>
      <c r="BN330" t="s">
        <v>74</v>
      </c>
      <c r="BO330" t="s">
        <v>1384</v>
      </c>
      <c r="BP330" t="s">
        <v>74</v>
      </c>
      <c r="BQ330" t="s">
        <v>74</v>
      </c>
      <c r="BR330" t="s">
        <v>100</v>
      </c>
      <c r="BS330" t="s">
        <v>5452</v>
      </c>
      <c r="BT330" t="str">
        <f>HYPERLINK("https%3A%2F%2Fwww.webofscience.com%2Fwos%2Fwoscc%2Ffull-record%2FWOS:000243896300049","View Full Record in Web of Science")</f>
        <v>View Full Record in Web of Science</v>
      </c>
    </row>
    <row r="331" spans="1:72" x14ac:dyDescent="0.15">
      <c r="A331" t="s">
        <v>241</v>
      </c>
      <c r="B331" t="s">
        <v>5453</v>
      </c>
      <c r="C331" t="s">
        <v>74</v>
      </c>
      <c r="D331" t="s">
        <v>5454</v>
      </c>
      <c r="E331" t="s">
        <v>74</v>
      </c>
      <c r="F331" t="s">
        <v>5455</v>
      </c>
      <c r="G331" t="s">
        <v>74</v>
      </c>
      <c r="H331" t="s">
        <v>74</v>
      </c>
      <c r="I331" t="s">
        <v>5456</v>
      </c>
      <c r="J331" t="s">
        <v>5457</v>
      </c>
      <c r="K331" t="s">
        <v>74</v>
      </c>
      <c r="L331" t="s">
        <v>74</v>
      </c>
      <c r="M331" t="s">
        <v>78</v>
      </c>
      <c r="N331" t="s">
        <v>248</v>
      </c>
      <c r="O331" t="s">
        <v>5458</v>
      </c>
      <c r="P331" t="s">
        <v>5459</v>
      </c>
      <c r="Q331" t="s">
        <v>5460</v>
      </c>
      <c r="R331" t="s">
        <v>74</v>
      </c>
      <c r="S331" t="s">
        <v>74</v>
      </c>
      <c r="T331" t="s">
        <v>74</v>
      </c>
      <c r="U331" t="s">
        <v>5461</v>
      </c>
      <c r="V331" t="s">
        <v>74</v>
      </c>
      <c r="W331" t="s">
        <v>5462</v>
      </c>
      <c r="X331" t="s">
        <v>5463</v>
      </c>
      <c r="Y331" t="s">
        <v>5464</v>
      </c>
      <c r="Z331" t="s">
        <v>5465</v>
      </c>
      <c r="AA331" t="s">
        <v>5466</v>
      </c>
      <c r="AB331" t="s">
        <v>74</v>
      </c>
      <c r="AC331" t="s">
        <v>5467</v>
      </c>
      <c r="AD331" t="s">
        <v>5468</v>
      </c>
      <c r="AE331" t="s">
        <v>5469</v>
      </c>
      <c r="AF331" t="s">
        <v>74</v>
      </c>
      <c r="AG331">
        <v>16</v>
      </c>
      <c r="AH331">
        <v>0</v>
      </c>
      <c r="AI331">
        <v>0</v>
      </c>
      <c r="AJ331">
        <v>0</v>
      </c>
      <c r="AK331">
        <v>2</v>
      </c>
      <c r="AL331" t="s">
        <v>3297</v>
      </c>
      <c r="AM331" t="s">
        <v>222</v>
      </c>
      <c r="AN331" t="s">
        <v>5470</v>
      </c>
      <c r="AO331" t="s">
        <v>74</v>
      </c>
      <c r="AP331" t="s">
        <v>74</v>
      </c>
      <c r="AQ331" t="s">
        <v>5471</v>
      </c>
      <c r="AR331" t="s">
        <v>74</v>
      </c>
      <c r="AS331" t="s">
        <v>74</v>
      </c>
      <c r="AT331" t="s">
        <v>74</v>
      </c>
      <c r="AU331">
        <v>2007</v>
      </c>
      <c r="AV331" t="s">
        <v>74</v>
      </c>
      <c r="AW331" t="s">
        <v>74</v>
      </c>
      <c r="AX331" t="s">
        <v>74</v>
      </c>
      <c r="AY331" t="s">
        <v>74</v>
      </c>
      <c r="AZ331" t="s">
        <v>74</v>
      </c>
      <c r="BA331" t="s">
        <v>74</v>
      </c>
      <c r="BB331">
        <v>225</v>
      </c>
      <c r="BC331">
        <v>231</v>
      </c>
      <c r="BD331" t="s">
        <v>74</v>
      </c>
      <c r="BE331" t="s">
        <v>74</v>
      </c>
      <c r="BF331" t="s">
        <v>74</v>
      </c>
      <c r="BG331" t="s">
        <v>74</v>
      </c>
      <c r="BH331" t="s">
        <v>74</v>
      </c>
      <c r="BI331">
        <v>7</v>
      </c>
      <c r="BJ331" t="s">
        <v>5472</v>
      </c>
      <c r="BK331" t="s">
        <v>266</v>
      </c>
      <c r="BL331" t="s">
        <v>5473</v>
      </c>
      <c r="BM331" t="s">
        <v>5474</v>
      </c>
      <c r="BN331" t="s">
        <v>74</v>
      </c>
      <c r="BO331" t="s">
        <v>74</v>
      </c>
      <c r="BP331" t="s">
        <v>74</v>
      </c>
      <c r="BQ331" t="s">
        <v>74</v>
      </c>
      <c r="BR331" t="s">
        <v>100</v>
      </c>
      <c r="BS331" t="s">
        <v>5475</v>
      </c>
      <c r="BT331" t="str">
        <f>HYPERLINK("https%3A%2F%2Fwww.webofscience.com%2Fwos%2Fwoscc%2Ffull-record%2FWOS:000248298700023","View Full Record in Web of Science")</f>
        <v>View Full Record in Web of Science</v>
      </c>
    </row>
    <row r="332" spans="1:72" x14ac:dyDescent="0.15">
      <c r="A332" t="s">
        <v>241</v>
      </c>
      <c r="B332" t="s">
        <v>5476</v>
      </c>
      <c r="C332" t="s">
        <v>74</v>
      </c>
      <c r="D332" t="s">
        <v>5454</v>
      </c>
      <c r="E332" t="s">
        <v>74</v>
      </c>
      <c r="F332" t="s">
        <v>5477</v>
      </c>
      <c r="G332" t="s">
        <v>74</v>
      </c>
      <c r="H332" t="s">
        <v>74</v>
      </c>
      <c r="I332" t="s">
        <v>5478</v>
      </c>
      <c r="J332" t="s">
        <v>5479</v>
      </c>
      <c r="K332" t="s">
        <v>74</v>
      </c>
      <c r="L332" t="s">
        <v>74</v>
      </c>
      <c r="M332" t="s">
        <v>78</v>
      </c>
      <c r="N332" t="s">
        <v>248</v>
      </c>
      <c r="O332" t="s">
        <v>5458</v>
      </c>
      <c r="P332" t="s">
        <v>5459</v>
      </c>
      <c r="Q332" t="s">
        <v>5460</v>
      </c>
      <c r="R332" t="s">
        <v>74</v>
      </c>
      <c r="S332" t="s">
        <v>74</v>
      </c>
      <c r="T332" t="s">
        <v>74</v>
      </c>
      <c r="U332" t="s">
        <v>5480</v>
      </c>
      <c r="V332" t="s">
        <v>74</v>
      </c>
      <c r="W332" t="s">
        <v>5481</v>
      </c>
      <c r="X332" t="s">
        <v>1829</v>
      </c>
      <c r="Y332" t="s">
        <v>5482</v>
      </c>
      <c r="Z332" t="s">
        <v>74</v>
      </c>
      <c r="AA332" t="s">
        <v>5483</v>
      </c>
      <c r="AB332" t="s">
        <v>5484</v>
      </c>
      <c r="AC332" t="s">
        <v>74</v>
      </c>
      <c r="AD332" t="s">
        <v>74</v>
      </c>
      <c r="AE332" t="s">
        <v>74</v>
      </c>
      <c r="AF332" t="s">
        <v>74</v>
      </c>
      <c r="AG332">
        <v>35</v>
      </c>
      <c r="AH332">
        <v>1</v>
      </c>
      <c r="AI332">
        <v>1</v>
      </c>
      <c r="AJ332">
        <v>0</v>
      </c>
      <c r="AK332">
        <v>1</v>
      </c>
      <c r="AL332" t="s">
        <v>3297</v>
      </c>
      <c r="AM332" t="s">
        <v>222</v>
      </c>
      <c r="AN332" t="s">
        <v>5470</v>
      </c>
      <c r="AO332" t="s">
        <v>74</v>
      </c>
      <c r="AP332" t="s">
        <v>74</v>
      </c>
      <c r="AQ332" t="s">
        <v>5471</v>
      </c>
      <c r="AR332" t="s">
        <v>74</v>
      </c>
      <c r="AS332" t="s">
        <v>74</v>
      </c>
      <c r="AT332" t="s">
        <v>74</v>
      </c>
      <c r="AU332">
        <v>2007</v>
      </c>
      <c r="AV332" t="s">
        <v>74</v>
      </c>
      <c r="AW332" t="s">
        <v>74</v>
      </c>
      <c r="AX332" t="s">
        <v>74</v>
      </c>
      <c r="AY332" t="s">
        <v>74</v>
      </c>
      <c r="AZ332" t="s">
        <v>74</v>
      </c>
      <c r="BA332" t="s">
        <v>74</v>
      </c>
      <c r="BB332">
        <v>241</v>
      </c>
      <c r="BC332">
        <v>248</v>
      </c>
      <c r="BD332" t="s">
        <v>74</v>
      </c>
      <c r="BE332" t="s">
        <v>74</v>
      </c>
      <c r="BF332" t="s">
        <v>74</v>
      </c>
      <c r="BG332" t="s">
        <v>74</v>
      </c>
      <c r="BH332" t="s">
        <v>74</v>
      </c>
      <c r="BI332">
        <v>8</v>
      </c>
      <c r="BJ332" t="s">
        <v>5472</v>
      </c>
      <c r="BK332" t="s">
        <v>266</v>
      </c>
      <c r="BL332" t="s">
        <v>5473</v>
      </c>
      <c r="BM332" t="s">
        <v>5474</v>
      </c>
      <c r="BN332" t="s">
        <v>74</v>
      </c>
      <c r="BO332" t="s">
        <v>74</v>
      </c>
      <c r="BP332" t="s">
        <v>74</v>
      </c>
      <c r="BQ332" t="s">
        <v>74</v>
      </c>
      <c r="BR332" t="s">
        <v>100</v>
      </c>
      <c r="BS332" t="s">
        <v>5485</v>
      </c>
      <c r="BT332" t="str">
        <f>HYPERLINK("https%3A%2F%2Fwww.webofscience.com%2Fwos%2Fwoscc%2Ffull-record%2FWOS:000248298700025","View Full Record in Web of Science")</f>
        <v>View Full Record in Web of Science</v>
      </c>
    </row>
    <row r="333" spans="1:72" x14ac:dyDescent="0.15">
      <c r="A333" t="s">
        <v>213</v>
      </c>
      <c r="B333" t="s">
        <v>5486</v>
      </c>
      <c r="C333" t="s">
        <v>74</v>
      </c>
      <c r="D333" t="s">
        <v>5487</v>
      </c>
      <c r="E333" t="s">
        <v>74</v>
      </c>
      <c r="F333" t="s">
        <v>5488</v>
      </c>
      <c r="G333" t="s">
        <v>74</v>
      </c>
      <c r="H333" t="s">
        <v>74</v>
      </c>
      <c r="I333" t="s">
        <v>5489</v>
      </c>
      <c r="J333" t="s">
        <v>5490</v>
      </c>
      <c r="K333" t="s">
        <v>74</v>
      </c>
      <c r="L333" t="s">
        <v>74</v>
      </c>
      <c r="M333" t="s">
        <v>78</v>
      </c>
      <c r="N333" t="s">
        <v>219</v>
      </c>
      <c r="O333" t="s">
        <v>74</v>
      </c>
      <c r="P333" t="s">
        <v>74</v>
      </c>
      <c r="Q333" t="s">
        <v>74</v>
      </c>
      <c r="R333" t="s">
        <v>74</v>
      </c>
      <c r="S333" t="s">
        <v>74</v>
      </c>
      <c r="T333" t="s">
        <v>74</v>
      </c>
      <c r="U333" t="s">
        <v>5491</v>
      </c>
      <c r="V333" t="s">
        <v>74</v>
      </c>
      <c r="W333" t="s">
        <v>5492</v>
      </c>
      <c r="X333" t="s">
        <v>5493</v>
      </c>
      <c r="Y333" t="s">
        <v>5494</v>
      </c>
      <c r="Z333" t="s">
        <v>74</v>
      </c>
      <c r="AA333" t="s">
        <v>5495</v>
      </c>
      <c r="AB333" t="s">
        <v>5496</v>
      </c>
      <c r="AC333" t="s">
        <v>74</v>
      </c>
      <c r="AD333" t="s">
        <v>74</v>
      </c>
      <c r="AE333" t="s">
        <v>74</v>
      </c>
      <c r="AF333" t="s">
        <v>74</v>
      </c>
      <c r="AG333">
        <v>119</v>
      </c>
      <c r="AH333">
        <v>15</v>
      </c>
      <c r="AI333">
        <v>17</v>
      </c>
      <c r="AJ333">
        <v>0</v>
      </c>
      <c r="AK333">
        <v>4</v>
      </c>
      <c r="AL333" t="s">
        <v>5497</v>
      </c>
      <c r="AM333" t="s">
        <v>5498</v>
      </c>
      <c r="AN333" t="s">
        <v>5499</v>
      </c>
      <c r="AO333" t="s">
        <v>74</v>
      </c>
      <c r="AP333" t="s">
        <v>74</v>
      </c>
      <c r="AQ333" t="s">
        <v>5500</v>
      </c>
      <c r="AR333" t="s">
        <v>74</v>
      </c>
      <c r="AS333" t="s">
        <v>74</v>
      </c>
      <c r="AT333" t="s">
        <v>74</v>
      </c>
      <c r="AU333">
        <v>2007</v>
      </c>
      <c r="AV333" t="s">
        <v>74</v>
      </c>
      <c r="AW333" t="s">
        <v>74</v>
      </c>
      <c r="AX333" t="s">
        <v>74</v>
      </c>
      <c r="AY333" t="s">
        <v>74</v>
      </c>
      <c r="AZ333" t="s">
        <v>74</v>
      </c>
      <c r="BA333" t="s">
        <v>74</v>
      </c>
      <c r="BB333">
        <v>119</v>
      </c>
      <c r="BC333">
        <v>132</v>
      </c>
      <c r="BD333" t="s">
        <v>74</v>
      </c>
      <c r="BE333" t="s">
        <v>74</v>
      </c>
      <c r="BF333" t="s">
        <v>74</v>
      </c>
      <c r="BG333" t="s">
        <v>74</v>
      </c>
      <c r="BH333" t="s">
        <v>74</v>
      </c>
      <c r="BI333">
        <v>14</v>
      </c>
      <c r="BJ333" t="s">
        <v>2384</v>
      </c>
      <c r="BK333" t="s">
        <v>238</v>
      </c>
      <c r="BL333" t="s">
        <v>2384</v>
      </c>
      <c r="BM333" t="s">
        <v>5501</v>
      </c>
      <c r="BN333" t="s">
        <v>74</v>
      </c>
      <c r="BO333" t="s">
        <v>74</v>
      </c>
      <c r="BP333" t="s">
        <v>74</v>
      </c>
      <c r="BQ333" t="s">
        <v>74</v>
      </c>
      <c r="BR333" t="s">
        <v>100</v>
      </c>
      <c r="BS333" t="s">
        <v>5502</v>
      </c>
      <c r="BT333" t="str">
        <f>HYPERLINK("https%3A%2F%2Fwww.webofscience.com%2Fwos%2Fwoscc%2Ffull-record%2FWOS:000278640400011","View Full Record in Web of Science")</f>
        <v>View Full Record in Web of Science</v>
      </c>
    </row>
    <row r="334" spans="1:72" x14ac:dyDescent="0.15">
      <c r="A334" t="s">
        <v>213</v>
      </c>
      <c r="B334" t="s">
        <v>5503</v>
      </c>
      <c r="C334" t="s">
        <v>74</v>
      </c>
      <c r="D334" t="s">
        <v>5487</v>
      </c>
      <c r="E334" t="s">
        <v>74</v>
      </c>
      <c r="F334" t="s">
        <v>5504</v>
      </c>
      <c r="G334" t="s">
        <v>74</v>
      </c>
      <c r="H334" t="s">
        <v>74</v>
      </c>
      <c r="I334" t="s">
        <v>5505</v>
      </c>
      <c r="J334" t="s">
        <v>5490</v>
      </c>
      <c r="K334" t="s">
        <v>74</v>
      </c>
      <c r="L334" t="s">
        <v>74</v>
      </c>
      <c r="M334" t="s">
        <v>78</v>
      </c>
      <c r="N334" t="s">
        <v>219</v>
      </c>
      <c r="O334" t="s">
        <v>74</v>
      </c>
      <c r="P334" t="s">
        <v>74</v>
      </c>
      <c r="Q334" t="s">
        <v>74</v>
      </c>
      <c r="R334" t="s">
        <v>74</v>
      </c>
      <c r="S334" t="s">
        <v>74</v>
      </c>
      <c r="T334" t="s">
        <v>74</v>
      </c>
      <c r="U334" t="s">
        <v>5506</v>
      </c>
      <c r="V334" t="s">
        <v>74</v>
      </c>
      <c r="W334" t="s">
        <v>5507</v>
      </c>
      <c r="X334" t="s">
        <v>5508</v>
      </c>
      <c r="Y334" t="s">
        <v>5509</v>
      </c>
      <c r="Z334" t="s">
        <v>74</v>
      </c>
      <c r="AA334" t="s">
        <v>74</v>
      </c>
      <c r="AB334" t="s">
        <v>74</v>
      </c>
      <c r="AC334" t="s">
        <v>74</v>
      </c>
      <c r="AD334" t="s">
        <v>74</v>
      </c>
      <c r="AE334" t="s">
        <v>74</v>
      </c>
      <c r="AF334" t="s">
        <v>74</v>
      </c>
      <c r="AG334">
        <v>49</v>
      </c>
      <c r="AH334">
        <v>8</v>
      </c>
      <c r="AI334">
        <v>9</v>
      </c>
      <c r="AJ334">
        <v>0</v>
      </c>
      <c r="AK334">
        <v>5</v>
      </c>
      <c r="AL334" t="s">
        <v>5497</v>
      </c>
      <c r="AM334" t="s">
        <v>5498</v>
      </c>
      <c r="AN334" t="s">
        <v>5499</v>
      </c>
      <c r="AO334" t="s">
        <v>74</v>
      </c>
      <c r="AP334" t="s">
        <v>74</v>
      </c>
      <c r="AQ334" t="s">
        <v>5500</v>
      </c>
      <c r="AR334" t="s">
        <v>74</v>
      </c>
      <c r="AS334" t="s">
        <v>74</v>
      </c>
      <c r="AT334" t="s">
        <v>74</v>
      </c>
      <c r="AU334">
        <v>2007</v>
      </c>
      <c r="AV334" t="s">
        <v>74</v>
      </c>
      <c r="AW334" t="s">
        <v>74</v>
      </c>
      <c r="AX334" t="s">
        <v>74</v>
      </c>
      <c r="AY334" t="s">
        <v>74</v>
      </c>
      <c r="AZ334" t="s">
        <v>74</v>
      </c>
      <c r="BA334" t="s">
        <v>74</v>
      </c>
      <c r="BB334">
        <v>155</v>
      </c>
      <c r="BC334">
        <v>164</v>
      </c>
      <c r="BD334" t="s">
        <v>74</v>
      </c>
      <c r="BE334" t="s">
        <v>74</v>
      </c>
      <c r="BF334" t="s">
        <v>74</v>
      </c>
      <c r="BG334" t="s">
        <v>74</v>
      </c>
      <c r="BH334" t="s">
        <v>74</v>
      </c>
      <c r="BI334">
        <v>10</v>
      </c>
      <c r="BJ334" t="s">
        <v>2384</v>
      </c>
      <c r="BK334" t="s">
        <v>238</v>
      </c>
      <c r="BL334" t="s">
        <v>2384</v>
      </c>
      <c r="BM334" t="s">
        <v>5501</v>
      </c>
      <c r="BN334" t="s">
        <v>74</v>
      </c>
      <c r="BO334" t="s">
        <v>74</v>
      </c>
      <c r="BP334" t="s">
        <v>74</v>
      </c>
      <c r="BQ334" t="s">
        <v>74</v>
      </c>
      <c r="BR334" t="s">
        <v>100</v>
      </c>
      <c r="BS334" t="s">
        <v>5510</v>
      </c>
      <c r="BT334" t="str">
        <f>HYPERLINK("https%3A%2F%2Fwww.webofscience.com%2Fwos%2Fwoscc%2Ffull-record%2FWOS:000278640400014","View Full Record in Web of Science")</f>
        <v>View Full Record in Web of Science</v>
      </c>
    </row>
    <row r="335" spans="1:72" x14ac:dyDescent="0.15">
      <c r="A335" t="s">
        <v>213</v>
      </c>
      <c r="B335" t="s">
        <v>5511</v>
      </c>
      <c r="C335" t="s">
        <v>74</v>
      </c>
      <c r="D335" t="s">
        <v>5487</v>
      </c>
      <c r="E335" t="s">
        <v>74</v>
      </c>
      <c r="F335" t="s">
        <v>5512</v>
      </c>
      <c r="G335" t="s">
        <v>74</v>
      </c>
      <c r="H335" t="s">
        <v>74</v>
      </c>
      <c r="I335" t="s">
        <v>5513</v>
      </c>
      <c r="J335" t="s">
        <v>5490</v>
      </c>
      <c r="K335" t="s">
        <v>74</v>
      </c>
      <c r="L335" t="s">
        <v>74</v>
      </c>
      <c r="M335" t="s">
        <v>78</v>
      </c>
      <c r="N335" t="s">
        <v>219</v>
      </c>
      <c r="O335" t="s">
        <v>74</v>
      </c>
      <c r="P335" t="s">
        <v>74</v>
      </c>
      <c r="Q335" t="s">
        <v>74</v>
      </c>
      <c r="R335" t="s">
        <v>74</v>
      </c>
      <c r="S335" t="s">
        <v>74</v>
      </c>
      <c r="T335" t="s">
        <v>74</v>
      </c>
      <c r="U335" t="s">
        <v>5514</v>
      </c>
      <c r="V335" t="s">
        <v>74</v>
      </c>
      <c r="W335" t="s">
        <v>5515</v>
      </c>
      <c r="X335" t="s">
        <v>5516</v>
      </c>
      <c r="Y335" t="s">
        <v>5517</v>
      </c>
      <c r="Z335" t="s">
        <v>74</v>
      </c>
      <c r="AA335" t="s">
        <v>5518</v>
      </c>
      <c r="AB335" t="s">
        <v>5519</v>
      </c>
      <c r="AC335" t="s">
        <v>74</v>
      </c>
      <c r="AD335" t="s">
        <v>74</v>
      </c>
      <c r="AE335" t="s">
        <v>74</v>
      </c>
      <c r="AF335" t="s">
        <v>74</v>
      </c>
      <c r="AG335">
        <v>122</v>
      </c>
      <c r="AH335">
        <v>14</v>
      </c>
      <c r="AI335">
        <v>16</v>
      </c>
      <c r="AJ335">
        <v>0</v>
      </c>
      <c r="AK335">
        <v>2</v>
      </c>
      <c r="AL335" t="s">
        <v>5497</v>
      </c>
      <c r="AM335" t="s">
        <v>5498</v>
      </c>
      <c r="AN335" t="s">
        <v>5499</v>
      </c>
      <c r="AO335" t="s">
        <v>74</v>
      </c>
      <c r="AP335" t="s">
        <v>74</v>
      </c>
      <c r="AQ335" t="s">
        <v>5500</v>
      </c>
      <c r="AR335" t="s">
        <v>74</v>
      </c>
      <c r="AS335" t="s">
        <v>74</v>
      </c>
      <c r="AT335" t="s">
        <v>74</v>
      </c>
      <c r="AU335">
        <v>2007</v>
      </c>
      <c r="AV335" t="s">
        <v>74</v>
      </c>
      <c r="AW335" t="s">
        <v>74</v>
      </c>
      <c r="AX335" t="s">
        <v>74</v>
      </c>
      <c r="AY335" t="s">
        <v>74</v>
      </c>
      <c r="AZ335" t="s">
        <v>74</v>
      </c>
      <c r="BA335" t="s">
        <v>74</v>
      </c>
      <c r="BB335">
        <v>165</v>
      </c>
      <c r="BC335">
        <v>179</v>
      </c>
      <c r="BD335" t="s">
        <v>74</v>
      </c>
      <c r="BE335" t="s">
        <v>74</v>
      </c>
      <c r="BF335" t="s">
        <v>74</v>
      </c>
      <c r="BG335" t="s">
        <v>74</v>
      </c>
      <c r="BH335" t="s">
        <v>74</v>
      </c>
      <c r="BI335">
        <v>15</v>
      </c>
      <c r="BJ335" t="s">
        <v>2384</v>
      </c>
      <c r="BK335" t="s">
        <v>238</v>
      </c>
      <c r="BL335" t="s">
        <v>2384</v>
      </c>
      <c r="BM335" t="s">
        <v>5501</v>
      </c>
      <c r="BN335" t="s">
        <v>74</v>
      </c>
      <c r="BO335" t="s">
        <v>74</v>
      </c>
      <c r="BP335" t="s">
        <v>74</v>
      </c>
      <c r="BQ335" t="s">
        <v>74</v>
      </c>
      <c r="BR335" t="s">
        <v>100</v>
      </c>
      <c r="BS335" t="s">
        <v>5520</v>
      </c>
      <c r="BT335" t="str">
        <f>HYPERLINK("https%3A%2F%2Fwww.webofscience.com%2Fwos%2Fwoscc%2Ffull-record%2FWOS:000278640400015","View Full Record in Web of Science")</f>
        <v>View Full Record in Web of Science</v>
      </c>
    </row>
    <row r="336" spans="1:72" x14ac:dyDescent="0.15">
      <c r="A336" t="s">
        <v>72</v>
      </c>
      <c r="B336" t="s">
        <v>5521</v>
      </c>
      <c r="C336" t="s">
        <v>74</v>
      </c>
      <c r="D336" t="s">
        <v>74</v>
      </c>
      <c r="E336" t="s">
        <v>74</v>
      </c>
      <c r="F336" t="s">
        <v>5522</v>
      </c>
      <c r="G336" t="s">
        <v>74</v>
      </c>
      <c r="H336" t="s">
        <v>74</v>
      </c>
      <c r="I336" t="s">
        <v>5523</v>
      </c>
      <c r="J336" t="s">
        <v>5524</v>
      </c>
      <c r="K336" t="s">
        <v>74</v>
      </c>
      <c r="L336" t="s">
        <v>74</v>
      </c>
      <c r="M336" t="s">
        <v>78</v>
      </c>
      <c r="N336" t="s">
        <v>79</v>
      </c>
      <c r="O336" t="s">
        <v>74</v>
      </c>
      <c r="P336" t="s">
        <v>74</v>
      </c>
      <c r="Q336" t="s">
        <v>74</v>
      </c>
      <c r="R336" t="s">
        <v>74</v>
      </c>
      <c r="S336" t="s">
        <v>74</v>
      </c>
      <c r="T336" t="s">
        <v>5525</v>
      </c>
      <c r="U336" t="s">
        <v>5526</v>
      </c>
      <c r="V336" t="s">
        <v>5527</v>
      </c>
      <c r="W336" t="s">
        <v>5528</v>
      </c>
      <c r="X336" t="s">
        <v>5529</v>
      </c>
      <c r="Y336" t="s">
        <v>5530</v>
      </c>
      <c r="Z336" t="s">
        <v>74</v>
      </c>
      <c r="AA336" t="s">
        <v>74</v>
      </c>
      <c r="AB336" t="s">
        <v>74</v>
      </c>
      <c r="AC336" t="s">
        <v>74</v>
      </c>
      <c r="AD336" t="s">
        <v>74</v>
      </c>
      <c r="AE336" t="s">
        <v>74</v>
      </c>
      <c r="AF336" t="s">
        <v>74</v>
      </c>
      <c r="AG336">
        <v>39</v>
      </c>
      <c r="AH336">
        <v>0</v>
      </c>
      <c r="AI336">
        <v>0</v>
      </c>
      <c r="AJ336">
        <v>0</v>
      </c>
      <c r="AK336">
        <v>9</v>
      </c>
      <c r="AL336" t="s">
        <v>5531</v>
      </c>
      <c r="AM336" t="s">
        <v>5532</v>
      </c>
      <c r="AN336" t="s">
        <v>5533</v>
      </c>
      <c r="AO336" t="s">
        <v>5534</v>
      </c>
      <c r="AP336" t="s">
        <v>74</v>
      </c>
      <c r="AQ336" t="s">
        <v>74</v>
      </c>
      <c r="AR336" t="s">
        <v>5535</v>
      </c>
      <c r="AS336" t="s">
        <v>5536</v>
      </c>
      <c r="AT336" t="s">
        <v>74</v>
      </c>
      <c r="AU336">
        <v>2007</v>
      </c>
      <c r="AV336">
        <v>46</v>
      </c>
      <c r="AW336">
        <v>2</v>
      </c>
      <c r="AX336" t="s">
        <v>74</v>
      </c>
      <c r="AY336" t="s">
        <v>74</v>
      </c>
      <c r="AZ336" t="s">
        <v>74</v>
      </c>
      <c r="BA336" t="s">
        <v>74</v>
      </c>
      <c r="BB336">
        <v>247</v>
      </c>
      <c r="BC336">
        <v>258</v>
      </c>
      <c r="BD336" t="s">
        <v>74</v>
      </c>
      <c r="BE336" t="s">
        <v>74</v>
      </c>
      <c r="BF336" t="s">
        <v>74</v>
      </c>
      <c r="BG336" t="s">
        <v>74</v>
      </c>
      <c r="BH336" t="s">
        <v>74</v>
      </c>
      <c r="BI336">
        <v>12</v>
      </c>
      <c r="BJ336" t="s">
        <v>576</v>
      </c>
      <c r="BK336" t="s">
        <v>97</v>
      </c>
      <c r="BL336" t="s">
        <v>576</v>
      </c>
      <c r="BM336" t="s">
        <v>5537</v>
      </c>
      <c r="BN336" t="s">
        <v>74</v>
      </c>
      <c r="BO336" t="s">
        <v>74</v>
      </c>
      <c r="BP336" t="s">
        <v>74</v>
      </c>
      <c r="BQ336" t="s">
        <v>74</v>
      </c>
      <c r="BR336" t="s">
        <v>100</v>
      </c>
      <c r="BS336" t="s">
        <v>5538</v>
      </c>
      <c r="BT336" t="str">
        <f>HYPERLINK("https%3A%2F%2Fwww.webofscience.com%2Fwos%2Fwoscc%2Ffull-record%2FWOS:000247220900016","View Full Record in Web of Science")</f>
        <v>View Full Record in Web of Science</v>
      </c>
    </row>
    <row r="337" spans="1:72" x14ac:dyDescent="0.15">
      <c r="A337" t="s">
        <v>241</v>
      </c>
      <c r="B337" t="s">
        <v>5539</v>
      </c>
      <c r="C337" t="s">
        <v>74</v>
      </c>
      <c r="D337" t="s">
        <v>5540</v>
      </c>
      <c r="E337" t="s">
        <v>74</v>
      </c>
      <c r="F337" t="s">
        <v>5541</v>
      </c>
      <c r="G337" t="s">
        <v>74</v>
      </c>
      <c r="H337" t="s">
        <v>74</v>
      </c>
      <c r="I337" t="s">
        <v>5542</v>
      </c>
      <c r="J337" t="s">
        <v>5543</v>
      </c>
      <c r="K337" t="s">
        <v>3173</v>
      </c>
      <c r="L337" t="s">
        <v>74</v>
      </c>
      <c r="M337" t="s">
        <v>78</v>
      </c>
      <c r="N337" t="s">
        <v>248</v>
      </c>
      <c r="O337" t="s">
        <v>5544</v>
      </c>
      <c r="P337" t="s">
        <v>5545</v>
      </c>
      <c r="Q337" t="s">
        <v>2117</v>
      </c>
      <c r="R337" t="s">
        <v>74</v>
      </c>
      <c r="S337" t="s">
        <v>74</v>
      </c>
      <c r="T337" t="s">
        <v>5546</v>
      </c>
      <c r="U337" t="s">
        <v>74</v>
      </c>
      <c r="V337" t="s">
        <v>5547</v>
      </c>
      <c r="W337" t="s">
        <v>5548</v>
      </c>
      <c r="X337" t="s">
        <v>3234</v>
      </c>
      <c r="Y337" t="s">
        <v>5549</v>
      </c>
      <c r="Z337" t="s">
        <v>74</v>
      </c>
      <c r="AA337" t="s">
        <v>74</v>
      </c>
      <c r="AB337" t="s">
        <v>5550</v>
      </c>
      <c r="AC337" t="s">
        <v>74</v>
      </c>
      <c r="AD337" t="s">
        <v>74</v>
      </c>
      <c r="AE337" t="s">
        <v>74</v>
      </c>
      <c r="AF337" t="s">
        <v>74</v>
      </c>
      <c r="AG337">
        <v>8</v>
      </c>
      <c r="AH337">
        <v>0</v>
      </c>
      <c r="AI337">
        <v>0</v>
      </c>
      <c r="AJ337">
        <v>0</v>
      </c>
      <c r="AK337">
        <v>3</v>
      </c>
      <c r="AL337" t="s">
        <v>2124</v>
      </c>
      <c r="AM337" t="s">
        <v>2125</v>
      </c>
      <c r="AN337" t="s">
        <v>2126</v>
      </c>
      <c r="AO337" t="s">
        <v>2127</v>
      </c>
      <c r="AP337" t="s">
        <v>74</v>
      </c>
      <c r="AQ337" t="s">
        <v>5551</v>
      </c>
      <c r="AR337" t="s">
        <v>3185</v>
      </c>
      <c r="AS337" t="s">
        <v>74</v>
      </c>
      <c r="AT337" t="s">
        <v>74</v>
      </c>
      <c r="AU337">
        <v>2007</v>
      </c>
      <c r="AV337">
        <v>6641</v>
      </c>
      <c r="AW337" t="s">
        <v>74</v>
      </c>
      <c r="AX337" t="s">
        <v>74</v>
      </c>
      <c r="AY337" t="s">
        <v>74</v>
      </c>
      <c r="AZ337" t="s">
        <v>74</v>
      </c>
      <c r="BA337" t="s">
        <v>74</v>
      </c>
      <c r="BB337" t="s">
        <v>74</v>
      </c>
      <c r="BC337" t="s">
        <v>74</v>
      </c>
      <c r="BD337" t="s">
        <v>5552</v>
      </c>
      <c r="BE337" t="s">
        <v>5553</v>
      </c>
      <c r="BF337" t="str">
        <f>HYPERLINK("http://dx.doi.org/10.1117/12.732418","http://dx.doi.org/10.1117/12.732418")</f>
        <v>http://dx.doi.org/10.1117/12.732418</v>
      </c>
      <c r="BG337" t="s">
        <v>74</v>
      </c>
      <c r="BH337" t="s">
        <v>74</v>
      </c>
      <c r="BI337">
        <v>9</v>
      </c>
      <c r="BJ337" t="s">
        <v>5554</v>
      </c>
      <c r="BK337" t="s">
        <v>266</v>
      </c>
      <c r="BL337" t="s">
        <v>5555</v>
      </c>
      <c r="BM337" t="s">
        <v>5556</v>
      </c>
      <c r="BN337" t="s">
        <v>74</v>
      </c>
      <c r="BO337" t="s">
        <v>74</v>
      </c>
      <c r="BP337" t="s">
        <v>74</v>
      </c>
      <c r="BQ337" t="s">
        <v>74</v>
      </c>
      <c r="BR337" t="s">
        <v>100</v>
      </c>
      <c r="BS337" t="s">
        <v>5557</v>
      </c>
      <c r="BT337" t="str">
        <f>HYPERLINK("https%3A%2F%2Fwww.webofscience.com%2Fwos%2Fwoscc%2Ffull-record%2FWOS:000252083900028","View Full Record in Web of Science")</f>
        <v>View Full Record in Web of Science</v>
      </c>
    </row>
    <row r="338" spans="1:72" x14ac:dyDescent="0.15">
      <c r="A338" t="s">
        <v>888</v>
      </c>
      <c r="B338" t="s">
        <v>5558</v>
      </c>
      <c r="C338" t="s">
        <v>74</v>
      </c>
      <c r="D338" t="s">
        <v>5559</v>
      </c>
      <c r="E338" t="s">
        <v>74</v>
      </c>
      <c r="F338" t="s">
        <v>5560</v>
      </c>
      <c r="G338" t="s">
        <v>74</v>
      </c>
      <c r="H338" t="s">
        <v>74</v>
      </c>
      <c r="I338" t="s">
        <v>5561</v>
      </c>
      <c r="J338" t="s">
        <v>5562</v>
      </c>
      <c r="K338" t="s">
        <v>1096</v>
      </c>
      <c r="L338" t="s">
        <v>74</v>
      </c>
      <c r="M338" t="s">
        <v>78</v>
      </c>
      <c r="N338" t="s">
        <v>219</v>
      </c>
      <c r="O338" t="s">
        <v>74</v>
      </c>
      <c r="P338" t="s">
        <v>74</v>
      </c>
      <c r="Q338" t="s">
        <v>74</v>
      </c>
      <c r="R338" t="s">
        <v>74</v>
      </c>
      <c r="S338" t="s">
        <v>74</v>
      </c>
      <c r="T338" t="s">
        <v>5563</v>
      </c>
      <c r="U338" t="s">
        <v>5564</v>
      </c>
      <c r="V338" t="s">
        <v>5565</v>
      </c>
      <c r="W338" t="s">
        <v>5566</v>
      </c>
      <c r="X338" t="s">
        <v>5567</v>
      </c>
      <c r="Y338" t="s">
        <v>5568</v>
      </c>
      <c r="Z338" t="s">
        <v>5569</v>
      </c>
      <c r="AA338" t="s">
        <v>74</v>
      </c>
      <c r="AB338" t="s">
        <v>5570</v>
      </c>
      <c r="AC338" t="s">
        <v>74</v>
      </c>
      <c r="AD338" t="s">
        <v>74</v>
      </c>
      <c r="AE338" t="s">
        <v>74</v>
      </c>
      <c r="AF338" t="s">
        <v>74</v>
      </c>
      <c r="AG338">
        <v>77</v>
      </c>
      <c r="AH338">
        <v>16</v>
      </c>
      <c r="AI338">
        <v>17</v>
      </c>
      <c r="AJ338">
        <v>0</v>
      </c>
      <c r="AK338">
        <v>3</v>
      </c>
      <c r="AL338" t="s">
        <v>1111</v>
      </c>
      <c r="AM338" t="s">
        <v>1112</v>
      </c>
      <c r="AN338" t="s">
        <v>1113</v>
      </c>
      <c r="AO338" t="s">
        <v>1114</v>
      </c>
      <c r="AP338" t="s">
        <v>74</v>
      </c>
      <c r="AQ338" t="s">
        <v>5571</v>
      </c>
      <c r="AR338" t="s">
        <v>1116</v>
      </c>
      <c r="AS338" t="s">
        <v>74</v>
      </c>
      <c r="AT338" t="s">
        <v>74</v>
      </c>
      <c r="AU338">
        <v>2007</v>
      </c>
      <c r="AV338">
        <v>430</v>
      </c>
      <c r="AW338" t="s">
        <v>74</v>
      </c>
      <c r="AX338" t="s">
        <v>74</v>
      </c>
      <c r="AY338" t="s">
        <v>74</v>
      </c>
      <c r="AZ338" t="s">
        <v>74</v>
      </c>
      <c r="BA338" t="s">
        <v>74</v>
      </c>
      <c r="BB338">
        <v>189</v>
      </c>
      <c r="BC338">
        <v>204</v>
      </c>
      <c r="BD338" t="s">
        <v>74</v>
      </c>
      <c r="BE338" t="s">
        <v>5572</v>
      </c>
      <c r="BF338" t="str">
        <f>HYPERLINK("http://dx.doi.org/10.1130/2007.2430(10)","http://dx.doi.org/10.1130/2007.2430(10)")</f>
        <v>http://dx.doi.org/10.1130/2007.2430(10)</v>
      </c>
      <c r="BG338" t="s">
        <v>74</v>
      </c>
      <c r="BH338" t="s">
        <v>74</v>
      </c>
      <c r="BI338">
        <v>16</v>
      </c>
      <c r="BJ338" t="s">
        <v>1182</v>
      </c>
      <c r="BK338" t="s">
        <v>238</v>
      </c>
      <c r="BL338" t="s">
        <v>642</v>
      </c>
      <c r="BM338" t="s">
        <v>5573</v>
      </c>
      <c r="BN338" t="s">
        <v>74</v>
      </c>
      <c r="BO338" t="s">
        <v>74</v>
      </c>
      <c r="BP338" t="s">
        <v>74</v>
      </c>
      <c r="BQ338" t="s">
        <v>74</v>
      </c>
      <c r="BR338" t="s">
        <v>100</v>
      </c>
      <c r="BS338" t="s">
        <v>5574</v>
      </c>
      <c r="BT338" t="str">
        <f>HYPERLINK("https%3A%2F%2Fwww.webofscience.com%2Fwos%2Fwoscc%2Ffull-record%2FWOS:000271667800020","View Full Record in Web of Science")</f>
        <v>View Full Record in Web of Science</v>
      </c>
    </row>
    <row r="339" spans="1:72" x14ac:dyDescent="0.15">
      <c r="A339" t="s">
        <v>888</v>
      </c>
      <c r="B339" t="s">
        <v>5575</v>
      </c>
      <c r="C339" t="s">
        <v>74</v>
      </c>
      <c r="D339" t="s">
        <v>5559</v>
      </c>
      <c r="E339" t="s">
        <v>74</v>
      </c>
      <c r="F339" t="s">
        <v>5576</v>
      </c>
      <c r="G339" t="s">
        <v>74</v>
      </c>
      <c r="H339" t="s">
        <v>74</v>
      </c>
      <c r="I339" t="s">
        <v>5577</v>
      </c>
      <c r="J339" t="s">
        <v>5562</v>
      </c>
      <c r="K339" t="s">
        <v>1096</v>
      </c>
      <c r="L339" t="s">
        <v>74</v>
      </c>
      <c r="M339" t="s">
        <v>78</v>
      </c>
      <c r="N339" t="s">
        <v>219</v>
      </c>
      <c r="O339" t="s">
        <v>74</v>
      </c>
      <c r="P339" t="s">
        <v>74</v>
      </c>
      <c r="Q339" t="s">
        <v>74</v>
      </c>
      <c r="R339" t="s">
        <v>74</v>
      </c>
      <c r="S339" t="s">
        <v>74</v>
      </c>
      <c r="T339" t="s">
        <v>5578</v>
      </c>
      <c r="U339" t="s">
        <v>5579</v>
      </c>
      <c r="V339" t="s">
        <v>5580</v>
      </c>
      <c r="W339" t="s">
        <v>5233</v>
      </c>
      <c r="X339" t="s">
        <v>5234</v>
      </c>
      <c r="Y339" t="s">
        <v>5581</v>
      </c>
      <c r="Z339" t="s">
        <v>5582</v>
      </c>
      <c r="AA339" t="s">
        <v>74</v>
      </c>
      <c r="AB339" t="s">
        <v>74</v>
      </c>
      <c r="AC339" t="s">
        <v>74</v>
      </c>
      <c r="AD339" t="s">
        <v>74</v>
      </c>
      <c r="AE339" t="s">
        <v>74</v>
      </c>
      <c r="AF339" t="s">
        <v>74</v>
      </c>
      <c r="AG339">
        <v>94</v>
      </c>
      <c r="AH339">
        <v>30</v>
      </c>
      <c r="AI339">
        <v>33</v>
      </c>
      <c r="AJ339">
        <v>0</v>
      </c>
      <c r="AK339">
        <v>3</v>
      </c>
      <c r="AL339" t="s">
        <v>1111</v>
      </c>
      <c r="AM339" t="s">
        <v>1112</v>
      </c>
      <c r="AN339" t="s">
        <v>1113</v>
      </c>
      <c r="AO339" t="s">
        <v>1114</v>
      </c>
      <c r="AP339" t="s">
        <v>74</v>
      </c>
      <c r="AQ339" t="s">
        <v>5571</v>
      </c>
      <c r="AR339" t="s">
        <v>1116</v>
      </c>
      <c r="AS339" t="s">
        <v>74</v>
      </c>
      <c r="AT339" t="s">
        <v>74</v>
      </c>
      <c r="AU339">
        <v>2007</v>
      </c>
      <c r="AV339">
        <v>430</v>
      </c>
      <c r="AW339" t="s">
        <v>74</v>
      </c>
      <c r="AX339" t="s">
        <v>74</v>
      </c>
      <c r="AY339" t="s">
        <v>74</v>
      </c>
      <c r="AZ339" t="s">
        <v>74</v>
      </c>
      <c r="BA339" t="s">
        <v>74</v>
      </c>
      <c r="BB339">
        <v>335</v>
      </c>
      <c r="BC339">
        <v>355</v>
      </c>
      <c r="BD339" t="s">
        <v>74</v>
      </c>
      <c r="BE339" t="s">
        <v>5583</v>
      </c>
      <c r="BF339" t="str">
        <f>HYPERLINK("http://dx.doi.org/10.1130/2007.2430(17)","http://dx.doi.org/10.1130/2007.2430(17)")</f>
        <v>http://dx.doi.org/10.1130/2007.2430(17)</v>
      </c>
      <c r="BG339" t="s">
        <v>74</v>
      </c>
      <c r="BH339" t="s">
        <v>74</v>
      </c>
      <c r="BI339">
        <v>21</v>
      </c>
      <c r="BJ339" t="s">
        <v>1182</v>
      </c>
      <c r="BK339" t="s">
        <v>238</v>
      </c>
      <c r="BL339" t="s">
        <v>642</v>
      </c>
      <c r="BM339" t="s">
        <v>5573</v>
      </c>
      <c r="BN339" t="s">
        <v>74</v>
      </c>
      <c r="BO339" t="s">
        <v>74</v>
      </c>
      <c r="BP339" t="s">
        <v>74</v>
      </c>
      <c r="BQ339" t="s">
        <v>74</v>
      </c>
      <c r="BR339" t="s">
        <v>100</v>
      </c>
      <c r="BS339" t="s">
        <v>5584</v>
      </c>
      <c r="BT339" t="str">
        <f>HYPERLINK("https%3A%2F%2Fwww.webofscience.com%2Fwos%2Fwoscc%2Ffull-record%2FWOS:000271667800031","View Full Record in Web of Science")</f>
        <v>View Full Record in Web of Science</v>
      </c>
    </row>
    <row r="340" spans="1:72" x14ac:dyDescent="0.15">
      <c r="A340" t="s">
        <v>72</v>
      </c>
      <c r="B340" t="s">
        <v>5585</v>
      </c>
      <c r="C340" t="s">
        <v>74</v>
      </c>
      <c r="D340" t="s">
        <v>74</v>
      </c>
      <c r="E340" t="s">
        <v>74</v>
      </c>
      <c r="F340" t="s">
        <v>5586</v>
      </c>
      <c r="G340" t="s">
        <v>74</v>
      </c>
      <c r="H340" t="s">
        <v>74</v>
      </c>
      <c r="I340" t="s">
        <v>5587</v>
      </c>
      <c r="J340" t="s">
        <v>5588</v>
      </c>
      <c r="K340" t="s">
        <v>74</v>
      </c>
      <c r="L340" t="s">
        <v>74</v>
      </c>
      <c r="M340" t="s">
        <v>78</v>
      </c>
      <c r="N340" t="s">
        <v>79</v>
      </c>
      <c r="O340" t="s">
        <v>74</v>
      </c>
      <c r="P340" t="s">
        <v>74</v>
      </c>
      <c r="Q340" t="s">
        <v>74</v>
      </c>
      <c r="R340" t="s">
        <v>74</v>
      </c>
      <c r="S340" t="s">
        <v>74</v>
      </c>
      <c r="T340" t="s">
        <v>74</v>
      </c>
      <c r="U340" t="s">
        <v>5589</v>
      </c>
      <c r="V340" t="s">
        <v>5590</v>
      </c>
      <c r="W340" t="s">
        <v>5591</v>
      </c>
      <c r="X340" t="s">
        <v>5592</v>
      </c>
      <c r="Y340" t="s">
        <v>5593</v>
      </c>
      <c r="Z340" t="s">
        <v>5594</v>
      </c>
      <c r="AA340" t="s">
        <v>5595</v>
      </c>
      <c r="AB340" t="s">
        <v>5596</v>
      </c>
      <c r="AC340" t="s">
        <v>74</v>
      </c>
      <c r="AD340" t="s">
        <v>74</v>
      </c>
      <c r="AE340" t="s">
        <v>74</v>
      </c>
      <c r="AF340" t="s">
        <v>74</v>
      </c>
      <c r="AG340">
        <v>32</v>
      </c>
      <c r="AH340">
        <v>3</v>
      </c>
      <c r="AI340">
        <v>3</v>
      </c>
      <c r="AJ340">
        <v>0</v>
      </c>
      <c r="AK340">
        <v>1</v>
      </c>
      <c r="AL340" t="s">
        <v>613</v>
      </c>
      <c r="AM340" t="s">
        <v>678</v>
      </c>
      <c r="AN340" t="s">
        <v>679</v>
      </c>
      <c r="AO340" t="s">
        <v>5597</v>
      </c>
      <c r="AP340" t="s">
        <v>5598</v>
      </c>
      <c r="AQ340" t="s">
        <v>74</v>
      </c>
      <c r="AR340" t="s">
        <v>5599</v>
      </c>
      <c r="AS340" t="s">
        <v>5600</v>
      </c>
      <c r="AT340" t="s">
        <v>661</v>
      </c>
      <c r="AU340">
        <v>2007</v>
      </c>
      <c r="AV340">
        <v>30</v>
      </c>
      <c r="AW340">
        <v>2</v>
      </c>
      <c r="AX340" t="s">
        <v>74</v>
      </c>
      <c r="AY340" t="s">
        <v>74</v>
      </c>
      <c r="AZ340" t="s">
        <v>74</v>
      </c>
      <c r="BA340" t="s">
        <v>74</v>
      </c>
      <c r="BB340">
        <v>125</v>
      </c>
      <c r="BC340">
        <v>131</v>
      </c>
      <c r="BD340" t="s">
        <v>74</v>
      </c>
      <c r="BE340" t="s">
        <v>5601</v>
      </c>
      <c r="BF340" t="str">
        <f>HYPERLINK("http://dx.doi.org/10.1007/s00300-006-0167-9","http://dx.doi.org/10.1007/s00300-006-0167-9")</f>
        <v>http://dx.doi.org/10.1007/s00300-006-0167-9</v>
      </c>
      <c r="BG340" t="s">
        <v>74</v>
      </c>
      <c r="BH340" t="s">
        <v>74</v>
      </c>
      <c r="BI340">
        <v>7</v>
      </c>
      <c r="BJ340" t="s">
        <v>5602</v>
      </c>
      <c r="BK340" t="s">
        <v>97</v>
      </c>
      <c r="BL340" t="s">
        <v>5603</v>
      </c>
      <c r="BM340" t="s">
        <v>5604</v>
      </c>
      <c r="BN340" t="s">
        <v>74</v>
      </c>
      <c r="BO340" t="s">
        <v>74</v>
      </c>
      <c r="BP340" t="s">
        <v>74</v>
      </c>
      <c r="BQ340" t="s">
        <v>74</v>
      </c>
      <c r="BR340" t="s">
        <v>100</v>
      </c>
      <c r="BS340" t="s">
        <v>5605</v>
      </c>
      <c r="BT340" t="str">
        <f>HYPERLINK("https%3A%2F%2Fwww.webofscience.com%2Fwos%2Fwoscc%2Ffull-record%2FWOS:000242688200001","View Full Record in Web of Science")</f>
        <v>View Full Record in Web of Science</v>
      </c>
    </row>
    <row r="341" spans="1:72" x14ac:dyDescent="0.15">
      <c r="A341" t="s">
        <v>72</v>
      </c>
      <c r="B341" t="s">
        <v>5606</v>
      </c>
      <c r="C341" t="s">
        <v>74</v>
      </c>
      <c r="D341" t="s">
        <v>74</v>
      </c>
      <c r="E341" t="s">
        <v>74</v>
      </c>
      <c r="F341" t="s">
        <v>5607</v>
      </c>
      <c r="G341" t="s">
        <v>74</v>
      </c>
      <c r="H341" t="s">
        <v>74</v>
      </c>
      <c r="I341" t="s">
        <v>5608</v>
      </c>
      <c r="J341" t="s">
        <v>5588</v>
      </c>
      <c r="K341" t="s">
        <v>74</v>
      </c>
      <c r="L341" t="s">
        <v>74</v>
      </c>
      <c r="M341" t="s">
        <v>78</v>
      </c>
      <c r="N341" t="s">
        <v>79</v>
      </c>
      <c r="O341" t="s">
        <v>74</v>
      </c>
      <c r="P341" t="s">
        <v>74</v>
      </c>
      <c r="Q341" t="s">
        <v>74</v>
      </c>
      <c r="R341" t="s">
        <v>74</v>
      </c>
      <c r="S341" t="s">
        <v>74</v>
      </c>
      <c r="T341" t="s">
        <v>74</v>
      </c>
      <c r="U341" t="s">
        <v>5609</v>
      </c>
      <c r="V341" t="s">
        <v>5610</v>
      </c>
      <c r="W341" t="s">
        <v>5611</v>
      </c>
      <c r="X341" t="s">
        <v>776</v>
      </c>
      <c r="Y341" t="s">
        <v>5612</v>
      </c>
      <c r="Z341" t="s">
        <v>5613</v>
      </c>
      <c r="AA341" t="s">
        <v>74</v>
      </c>
      <c r="AB341" t="s">
        <v>5614</v>
      </c>
      <c r="AC341" t="s">
        <v>74</v>
      </c>
      <c r="AD341" t="s">
        <v>74</v>
      </c>
      <c r="AE341" t="s">
        <v>74</v>
      </c>
      <c r="AF341" t="s">
        <v>74</v>
      </c>
      <c r="AG341">
        <v>22</v>
      </c>
      <c r="AH341">
        <v>44</v>
      </c>
      <c r="AI341">
        <v>49</v>
      </c>
      <c r="AJ341">
        <v>4</v>
      </c>
      <c r="AK341">
        <v>32</v>
      </c>
      <c r="AL341" t="s">
        <v>613</v>
      </c>
      <c r="AM341" t="s">
        <v>678</v>
      </c>
      <c r="AN341" t="s">
        <v>4336</v>
      </c>
      <c r="AO341" t="s">
        <v>5597</v>
      </c>
      <c r="AP341" t="s">
        <v>74</v>
      </c>
      <c r="AQ341" t="s">
        <v>74</v>
      </c>
      <c r="AR341" t="s">
        <v>5599</v>
      </c>
      <c r="AS341" t="s">
        <v>5600</v>
      </c>
      <c r="AT341" t="s">
        <v>661</v>
      </c>
      <c r="AU341">
        <v>2007</v>
      </c>
      <c r="AV341">
        <v>30</v>
      </c>
      <c r="AW341">
        <v>2</v>
      </c>
      <c r="AX341" t="s">
        <v>74</v>
      </c>
      <c r="AY341" t="s">
        <v>74</v>
      </c>
      <c r="AZ341" t="s">
        <v>74</v>
      </c>
      <c r="BA341" t="s">
        <v>74</v>
      </c>
      <c r="BB341">
        <v>133</v>
      </c>
      <c r="BC341">
        <v>142</v>
      </c>
      <c r="BD341" t="s">
        <v>74</v>
      </c>
      <c r="BE341" t="s">
        <v>5615</v>
      </c>
      <c r="BF341" t="str">
        <f>HYPERLINK("http://dx.doi.org/10.1007/s00300-006-0168-8","http://dx.doi.org/10.1007/s00300-006-0168-8")</f>
        <v>http://dx.doi.org/10.1007/s00300-006-0168-8</v>
      </c>
      <c r="BG341" t="s">
        <v>74</v>
      </c>
      <c r="BH341" t="s">
        <v>74</v>
      </c>
      <c r="BI341">
        <v>10</v>
      </c>
      <c r="BJ341" t="s">
        <v>5602</v>
      </c>
      <c r="BK341" t="s">
        <v>97</v>
      </c>
      <c r="BL341" t="s">
        <v>5603</v>
      </c>
      <c r="BM341" t="s">
        <v>5604</v>
      </c>
      <c r="BN341" t="s">
        <v>74</v>
      </c>
      <c r="BO341" t="s">
        <v>74</v>
      </c>
      <c r="BP341" t="s">
        <v>74</v>
      </c>
      <c r="BQ341" t="s">
        <v>74</v>
      </c>
      <c r="BR341" t="s">
        <v>100</v>
      </c>
      <c r="BS341" t="s">
        <v>5616</v>
      </c>
      <c r="BT341" t="str">
        <f>HYPERLINK("https%3A%2F%2Fwww.webofscience.com%2Fwos%2Fwoscc%2Ffull-record%2FWOS:000242688200002","View Full Record in Web of Science")</f>
        <v>View Full Record in Web of Science</v>
      </c>
    </row>
    <row r="342" spans="1:72" x14ac:dyDescent="0.15">
      <c r="A342" t="s">
        <v>72</v>
      </c>
      <c r="B342" t="s">
        <v>5617</v>
      </c>
      <c r="C342" t="s">
        <v>74</v>
      </c>
      <c r="D342" t="s">
        <v>74</v>
      </c>
      <c r="E342" t="s">
        <v>74</v>
      </c>
      <c r="F342" t="s">
        <v>5618</v>
      </c>
      <c r="G342" t="s">
        <v>74</v>
      </c>
      <c r="H342" t="s">
        <v>74</v>
      </c>
      <c r="I342" t="s">
        <v>5619</v>
      </c>
      <c r="J342" t="s">
        <v>5588</v>
      </c>
      <c r="K342" t="s">
        <v>74</v>
      </c>
      <c r="L342" t="s">
        <v>74</v>
      </c>
      <c r="M342" t="s">
        <v>78</v>
      </c>
      <c r="N342" t="s">
        <v>79</v>
      </c>
      <c r="O342" t="s">
        <v>74</v>
      </c>
      <c r="P342" t="s">
        <v>74</v>
      </c>
      <c r="Q342" t="s">
        <v>74</v>
      </c>
      <c r="R342" t="s">
        <v>74</v>
      </c>
      <c r="S342" t="s">
        <v>74</v>
      </c>
      <c r="T342" t="s">
        <v>74</v>
      </c>
      <c r="U342" t="s">
        <v>5620</v>
      </c>
      <c r="V342" t="s">
        <v>5621</v>
      </c>
      <c r="W342" t="s">
        <v>5622</v>
      </c>
      <c r="X342" t="s">
        <v>5623</v>
      </c>
      <c r="Y342" t="s">
        <v>5624</v>
      </c>
      <c r="Z342" t="s">
        <v>5625</v>
      </c>
      <c r="AA342" t="s">
        <v>5626</v>
      </c>
      <c r="AB342" t="s">
        <v>5627</v>
      </c>
      <c r="AC342" t="s">
        <v>74</v>
      </c>
      <c r="AD342" t="s">
        <v>74</v>
      </c>
      <c r="AE342" t="s">
        <v>74</v>
      </c>
      <c r="AF342" t="s">
        <v>74</v>
      </c>
      <c r="AG342">
        <v>41</v>
      </c>
      <c r="AH342">
        <v>27</v>
      </c>
      <c r="AI342">
        <v>31</v>
      </c>
      <c r="AJ342">
        <v>0</v>
      </c>
      <c r="AK342">
        <v>9</v>
      </c>
      <c r="AL342" t="s">
        <v>613</v>
      </c>
      <c r="AM342" t="s">
        <v>678</v>
      </c>
      <c r="AN342" t="s">
        <v>679</v>
      </c>
      <c r="AO342" t="s">
        <v>5597</v>
      </c>
      <c r="AP342" t="s">
        <v>5598</v>
      </c>
      <c r="AQ342" t="s">
        <v>74</v>
      </c>
      <c r="AR342" t="s">
        <v>5599</v>
      </c>
      <c r="AS342" t="s">
        <v>5600</v>
      </c>
      <c r="AT342" t="s">
        <v>661</v>
      </c>
      <c r="AU342">
        <v>2007</v>
      </c>
      <c r="AV342">
        <v>30</v>
      </c>
      <c r="AW342">
        <v>2</v>
      </c>
      <c r="AX342" t="s">
        <v>74</v>
      </c>
      <c r="AY342" t="s">
        <v>74</v>
      </c>
      <c r="AZ342" t="s">
        <v>74</v>
      </c>
      <c r="BA342" t="s">
        <v>74</v>
      </c>
      <c r="BB342">
        <v>143</v>
      </c>
      <c r="BC342">
        <v>153</v>
      </c>
      <c r="BD342" t="s">
        <v>74</v>
      </c>
      <c r="BE342" t="s">
        <v>5628</v>
      </c>
      <c r="BF342" t="str">
        <f>HYPERLINK("http://dx.doi.org/10.1007/s00300-006-0169-7","http://dx.doi.org/10.1007/s00300-006-0169-7")</f>
        <v>http://dx.doi.org/10.1007/s00300-006-0169-7</v>
      </c>
      <c r="BG342" t="s">
        <v>74</v>
      </c>
      <c r="BH342" t="s">
        <v>74</v>
      </c>
      <c r="BI342">
        <v>11</v>
      </c>
      <c r="BJ342" t="s">
        <v>5602</v>
      </c>
      <c r="BK342" t="s">
        <v>97</v>
      </c>
      <c r="BL342" t="s">
        <v>5603</v>
      </c>
      <c r="BM342" t="s">
        <v>5604</v>
      </c>
      <c r="BN342" t="s">
        <v>74</v>
      </c>
      <c r="BO342" t="s">
        <v>74</v>
      </c>
      <c r="BP342" t="s">
        <v>74</v>
      </c>
      <c r="BQ342" t="s">
        <v>74</v>
      </c>
      <c r="BR342" t="s">
        <v>100</v>
      </c>
      <c r="BS342" t="s">
        <v>5629</v>
      </c>
      <c r="BT342" t="str">
        <f>HYPERLINK("https%3A%2F%2Fwww.webofscience.com%2Fwos%2Fwoscc%2Ffull-record%2FWOS:000242688200003","View Full Record in Web of Science")</f>
        <v>View Full Record in Web of Science</v>
      </c>
    </row>
    <row r="343" spans="1:72" x14ac:dyDescent="0.15">
      <c r="A343" t="s">
        <v>72</v>
      </c>
      <c r="B343" t="s">
        <v>5630</v>
      </c>
      <c r="C343" t="s">
        <v>74</v>
      </c>
      <c r="D343" t="s">
        <v>74</v>
      </c>
      <c r="E343" t="s">
        <v>74</v>
      </c>
      <c r="F343" t="s">
        <v>5631</v>
      </c>
      <c r="G343" t="s">
        <v>74</v>
      </c>
      <c r="H343" t="s">
        <v>74</v>
      </c>
      <c r="I343" t="s">
        <v>5632</v>
      </c>
      <c r="J343" t="s">
        <v>5588</v>
      </c>
      <c r="K343" t="s">
        <v>74</v>
      </c>
      <c r="L343" t="s">
        <v>74</v>
      </c>
      <c r="M343" t="s">
        <v>78</v>
      </c>
      <c r="N343" t="s">
        <v>79</v>
      </c>
      <c r="O343" t="s">
        <v>74</v>
      </c>
      <c r="P343" t="s">
        <v>74</v>
      </c>
      <c r="Q343" t="s">
        <v>74</v>
      </c>
      <c r="R343" t="s">
        <v>74</v>
      </c>
      <c r="S343" t="s">
        <v>74</v>
      </c>
      <c r="T343" t="s">
        <v>74</v>
      </c>
      <c r="U343" t="s">
        <v>5633</v>
      </c>
      <c r="V343" t="s">
        <v>5634</v>
      </c>
      <c r="W343" t="s">
        <v>5635</v>
      </c>
      <c r="X343" t="s">
        <v>5636</v>
      </c>
      <c r="Y343" t="s">
        <v>5637</v>
      </c>
      <c r="Z343" t="s">
        <v>5638</v>
      </c>
      <c r="AA343" t="s">
        <v>5639</v>
      </c>
      <c r="AB343" t="s">
        <v>5640</v>
      </c>
      <c r="AC343" t="s">
        <v>74</v>
      </c>
      <c r="AD343" t="s">
        <v>74</v>
      </c>
      <c r="AE343" t="s">
        <v>74</v>
      </c>
      <c r="AF343" t="s">
        <v>74</v>
      </c>
      <c r="AG343">
        <v>34</v>
      </c>
      <c r="AH343">
        <v>39</v>
      </c>
      <c r="AI343">
        <v>45</v>
      </c>
      <c r="AJ343">
        <v>0</v>
      </c>
      <c r="AK343">
        <v>6</v>
      </c>
      <c r="AL343" t="s">
        <v>613</v>
      </c>
      <c r="AM343" t="s">
        <v>678</v>
      </c>
      <c r="AN343" t="s">
        <v>679</v>
      </c>
      <c r="AO343" t="s">
        <v>5597</v>
      </c>
      <c r="AP343" t="s">
        <v>5598</v>
      </c>
      <c r="AQ343" t="s">
        <v>74</v>
      </c>
      <c r="AR343" t="s">
        <v>5599</v>
      </c>
      <c r="AS343" t="s">
        <v>5600</v>
      </c>
      <c r="AT343" t="s">
        <v>661</v>
      </c>
      <c r="AU343">
        <v>2007</v>
      </c>
      <c r="AV343">
        <v>30</v>
      </c>
      <c r="AW343">
        <v>2</v>
      </c>
      <c r="AX343" t="s">
        <v>74</v>
      </c>
      <c r="AY343" t="s">
        <v>74</v>
      </c>
      <c r="AZ343" t="s">
        <v>74</v>
      </c>
      <c r="BA343" t="s">
        <v>74</v>
      </c>
      <c r="BB343">
        <v>155</v>
      </c>
      <c r="BC343">
        <v>166</v>
      </c>
      <c r="BD343" t="s">
        <v>74</v>
      </c>
      <c r="BE343" t="s">
        <v>5641</v>
      </c>
      <c r="BF343" t="str">
        <f>HYPERLINK("http://dx.doi.org/10.1007/s00300-006-0170-1","http://dx.doi.org/10.1007/s00300-006-0170-1")</f>
        <v>http://dx.doi.org/10.1007/s00300-006-0170-1</v>
      </c>
      <c r="BG343" t="s">
        <v>74</v>
      </c>
      <c r="BH343" t="s">
        <v>74</v>
      </c>
      <c r="BI343">
        <v>12</v>
      </c>
      <c r="BJ343" t="s">
        <v>5602</v>
      </c>
      <c r="BK343" t="s">
        <v>97</v>
      </c>
      <c r="BL343" t="s">
        <v>5603</v>
      </c>
      <c r="BM343" t="s">
        <v>5604</v>
      </c>
      <c r="BN343" t="s">
        <v>74</v>
      </c>
      <c r="BO343" t="s">
        <v>74</v>
      </c>
      <c r="BP343" t="s">
        <v>74</v>
      </c>
      <c r="BQ343" t="s">
        <v>74</v>
      </c>
      <c r="BR343" t="s">
        <v>100</v>
      </c>
      <c r="BS343" t="s">
        <v>5642</v>
      </c>
      <c r="BT343" t="str">
        <f>HYPERLINK("https%3A%2F%2Fwww.webofscience.com%2Fwos%2Fwoscc%2Ffull-record%2FWOS:000242688200004","View Full Record in Web of Science")</f>
        <v>View Full Record in Web of Science</v>
      </c>
    </row>
    <row r="344" spans="1:72" x14ac:dyDescent="0.15">
      <c r="A344" t="s">
        <v>72</v>
      </c>
      <c r="B344" t="s">
        <v>5643</v>
      </c>
      <c r="C344" t="s">
        <v>74</v>
      </c>
      <c r="D344" t="s">
        <v>74</v>
      </c>
      <c r="E344" t="s">
        <v>74</v>
      </c>
      <c r="F344" t="s">
        <v>5644</v>
      </c>
      <c r="G344" t="s">
        <v>74</v>
      </c>
      <c r="H344" t="s">
        <v>74</v>
      </c>
      <c r="I344" t="s">
        <v>5645</v>
      </c>
      <c r="J344" t="s">
        <v>5588</v>
      </c>
      <c r="K344" t="s">
        <v>74</v>
      </c>
      <c r="L344" t="s">
        <v>74</v>
      </c>
      <c r="M344" t="s">
        <v>78</v>
      </c>
      <c r="N344" t="s">
        <v>79</v>
      </c>
      <c r="O344" t="s">
        <v>74</v>
      </c>
      <c r="P344" t="s">
        <v>74</v>
      </c>
      <c r="Q344" t="s">
        <v>74</v>
      </c>
      <c r="R344" t="s">
        <v>74</v>
      </c>
      <c r="S344" t="s">
        <v>74</v>
      </c>
      <c r="T344" t="s">
        <v>74</v>
      </c>
      <c r="U344" t="s">
        <v>5646</v>
      </c>
      <c r="V344" t="s">
        <v>5647</v>
      </c>
      <c r="W344" t="s">
        <v>5648</v>
      </c>
      <c r="X344" t="s">
        <v>5649</v>
      </c>
      <c r="Y344" t="s">
        <v>5650</v>
      </c>
      <c r="Z344" t="s">
        <v>5651</v>
      </c>
      <c r="AA344" t="s">
        <v>5652</v>
      </c>
      <c r="AB344" t="s">
        <v>5653</v>
      </c>
      <c r="AC344" t="s">
        <v>74</v>
      </c>
      <c r="AD344" t="s">
        <v>74</v>
      </c>
      <c r="AE344" t="s">
        <v>74</v>
      </c>
      <c r="AF344" t="s">
        <v>74</v>
      </c>
      <c r="AG344">
        <v>30</v>
      </c>
      <c r="AH344">
        <v>31</v>
      </c>
      <c r="AI344">
        <v>39</v>
      </c>
      <c r="AJ344">
        <v>2</v>
      </c>
      <c r="AK344">
        <v>33</v>
      </c>
      <c r="AL344" t="s">
        <v>613</v>
      </c>
      <c r="AM344" t="s">
        <v>678</v>
      </c>
      <c r="AN344" t="s">
        <v>679</v>
      </c>
      <c r="AO344" t="s">
        <v>5597</v>
      </c>
      <c r="AP344" t="s">
        <v>5598</v>
      </c>
      <c r="AQ344" t="s">
        <v>74</v>
      </c>
      <c r="AR344" t="s">
        <v>5599</v>
      </c>
      <c r="AS344" t="s">
        <v>5600</v>
      </c>
      <c r="AT344" t="s">
        <v>661</v>
      </c>
      <c r="AU344">
        <v>2007</v>
      </c>
      <c r="AV344">
        <v>30</v>
      </c>
      <c r="AW344">
        <v>2</v>
      </c>
      <c r="AX344" t="s">
        <v>74</v>
      </c>
      <c r="AY344" t="s">
        <v>74</v>
      </c>
      <c r="AZ344" t="s">
        <v>74</v>
      </c>
      <c r="BA344" t="s">
        <v>74</v>
      </c>
      <c r="BB344">
        <v>199</v>
      </c>
      <c r="BC344">
        <v>207</v>
      </c>
      <c r="BD344" t="s">
        <v>74</v>
      </c>
      <c r="BE344" t="s">
        <v>5654</v>
      </c>
      <c r="BF344" t="str">
        <f>HYPERLINK("http://dx.doi.org/10.1007/s00300-006-0173-y","http://dx.doi.org/10.1007/s00300-006-0173-y")</f>
        <v>http://dx.doi.org/10.1007/s00300-006-0173-y</v>
      </c>
      <c r="BG344" t="s">
        <v>74</v>
      </c>
      <c r="BH344" t="s">
        <v>74</v>
      </c>
      <c r="BI344">
        <v>9</v>
      </c>
      <c r="BJ344" t="s">
        <v>5602</v>
      </c>
      <c r="BK344" t="s">
        <v>97</v>
      </c>
      <c r="BL344" t="s">
        <v>5603</v>
      </c>
      <c r="BM344" t="s">
        <v>5604</v>
      </c>
      <c r="BN344" t="s">
        <v>74</v>
      </c>
      <c r="BO344" t="s">
        <v>74</v>
      </c>
      <c r="BP344" t="s">
        <v>74</v>
      </c>
      <c r="BQ344" t="s">
        <v>74</v>
      </c>
      <c r="BR344" t="s">
        <v>100</v>
      </c>
      <c r="BS344" t="s">
        <v>5655</v>
      </c>
      <c r="BT344" t="str">
        <f>HYPERLINK("https%3A%2F%2Fwww.webofscience.com%2Fwos%2Fwoscc%2Ffull-record%2FWOS:000242688200007","View Full Record in Web of Science")</f>
        <v>View Full Record in Web of Science</v>
      </c>
    </row>
    <row r="345" spans="1:72" x14ac:dyDescent="0.15">
      <c r="A345" t="s">
        <v>72</v>
      </c>
      <c r="B345" t="s">
        <v>5656</v>
      </c>
      <c r="C345" t="s">
        <v>74</v>
      </c>
      <c r="D345" t="s">
        <v>74</v>
      </c>
      <c r="E345" t="s">
        <v>74</v>
      </c>
      <c r="F345" t="s">
        <v>5657</v>
      </c>
      <c r="G345" t="s">
        <v>74</v>
      </c>
      <c r="H345" t="s">
        <v>74</v>
      </c>
      <c r="I345" t="s">
        <v>5658</v>
      </c>
      <c r="J345" t="s">
        <v>5588</v>
      </c>
      <c r="K345" t="s">
        <v>74</v>
      </c>
      <c r="L345" t="s">
        <v>74</v>
      </c>
      <c r="M345" t="s">
        <v>78</v>
      </c>
      <c r="N345" t="s">
        <v>79</v>
      </c>
      <c r="O345" t="s">
        <v>74</v>
      </c>
      <c r="P345" t="s">
        <v>74</v>
      </c>
      <c r="Q345" t="s">
        <v>74</v>
      </c>
      <c r="R345" t="s">
        <v>74</v>
      </c>
      <c r="S345" t="s">
        <v>74</v>
      </c>
      <c r="T345" t="s">
        <v>74</v>
      </c>
      <c r="U345" t="s">
        <v>5659</v>
      </c>
      <c r="V345" t="s">
        <v>5660</v>
      </c>
      <c r="W345" t="s">
        <v>5661</v>
      </c>
      <c r="X345" t="s">
        <v>5662</v>
      </c>
      <c r="Y345" t="s">
        <v>5663</v>
      </c>
      <c r="Z345" t="s">
        <v>5664</v>
      </c>
      <c r="AA345" t="s">
        <v>5665</v>
      </c>
      <c r="AB345" t="s">
        <v>5666</v>
      </c>
      <c r="AC345" t="s">
        <v>74</v>
      </c>
      <c r="AD345" t="s">
        <v>74</v>
      </c>
      <c r="AE345" t="s">
        <v>74</v>
      </c>
      <c r="AF345" t="s">
        <v>74</v>
      </c>
      <c r="AG345">
        <v>52</v>
      </c>
      <c r="AH345">
        <v>25</v>
      </c>
      <c r="AI345">
        <v>26</v>
      </c>
      <c r="AJ345">
        <v>0</v>
      </c>
      <c r="AK345">
        <v>4</v>
      </c>
      <c r="AL345" t="s">
        <v>613</v>
      </c>
      <c r="AM345" t="s">
        <v>678</v>
      </c>
      <c r="AN345" t="s">
        <v>5667</v>
      </c>
      <c r="AO345" t="s">
        <v>5597</v>
      </c>
      <c r="AP345" t="s">
        <v>5598</v>
      </c>
      <c r="AQ345" t="s">
        <v>74</v>
      </c>
      <c r="AR345" t="s">
        <v>5599</v>
      </c>
      <c r="AS345" t="s">
        <v>5600</v>
      </c>
      <c r="AT345" t="s">
        <v>661</v>
      </c>
      <c r="AU345">
        <v>2007</v>
      </c>
      <c r="AV345">
        <v>30</v>
      </c>
      <c r="AW345">
        <v>2</v>
      </c>
      <c r="AX345" t="s">
        <v>74</v>
      </c>
      <c r="AY345" t="s">
        <v>74</v>
      </c>
      <c r="AZ345" t="s">
        <v>74</v>
      </c>
      <c r="BA345" t="s">
        <v>74</v>
      </c>
      <c r="BB345">
        <v>209</v>
      </c>
      <c r="BC345">
        <v>217</v>
      </c>
      <c r="BD345" t="s">
        <v>74</v>
      </c>
      <c r="BE345" t="s">
        <v>5668</v>
      </c>
      <c r="BF345" t="str">
        <f>HYPERLINK("http://dx.doi.org/10.1007/s00300-006-0174-x","http://dx.doi.org/10.1007/s00300-006-0174-x")</f>
        <v>http://dx.doi.org/10.1007/s00300-006-0174-x</v>
      </c>
      <c r="BG345" t="s">
        <v>74</v>
      </c>
      <c r="BH345" t="s">
        <v>74</v>
      </c>
      <c r="BI345">
        <v>9</v>
      </c>
      <c r="BJ345" t="s">
        <v>5602</v>
      </c>
      <c r="BK345" t="s">
        <v>97</v>
      </c>
      <c r="BL345" t="s">
        <v>5603</v>
      </c>
      <c r="BM345" t="s">
        <v>5604</v>
      </c>
      <c r="BN345" t="s">
        <v>74</v>
      </c>
      <c r="BO345" t="s">
        <v>74</v>
      </c>
      <c r="BP345" t="s">
        <v>74</v>
      </c>
      <c r="BQ345" t="s">
        <v>74</v>
      </c>
      <c r="BR345" t="s">
        <v>100</v>
      </c>
      <c r="BS345" t="s">
        <v>5669</v>
      </c>
      <c r="BT345" t="str">
        <f>HYPERLINK("https%3A%2F%2Fwww.webofscience.com%2Fwos%2Fwoscc%2Ffull-record%2FWOS:000242688200008","View Full Record in Web of Science")</f>
        <v>View Full Record in Web of Science</v>
      </c>
    </row>
    <row r="346" spans="1:72" x14ac:dyDescent="0.15">
      <c r="A346" t="s">
        <v>72</v>
      </c>
      <c r="B346" t="s">
        <v>5670</v>
      </c>
      <c r="C346" t="s">
        <v>74</v>
      </c>
      <c r="D346" t="s">
        <v>74</v>
      </c>
      <c r="E346" t="s">
        <v>74</v>
      </c>
      <c r="F346" t="s">
        <v>5671</v>
      </c>
      <c r="G346" t="s">
        <v>74</v>
      </c>
      <c r="H346" t="s">
        <v>74</v>
      </c>
      <c r="I346" t="s">
        <v>5672</v>
      </c>
      <c r="J346" t="s">
        <v>5588</v>
      </c>
      <c r="K346" t="s">
        <v>74</v>
      </c>
      <c r="L346" t="s">
        <v>74</v>
      </c>
      <c r="M346" t="s">
        <v>78</v>
      </c>
      <c r="N346" t="s">
        <v>79</v>
      </c>
      <c r="O346" t="s">
        <v>74</v>
      </c>
      <c r="P346" t="s">
        <v>74</v>
      </c>
      <c r="Q346" t="s">
        <v>74</v>
      </c>
      <c r="R346" t="s">
        <v>74</v>
      </c>
      <c r="S346" t="s">
        <v>74</v>
      </c>
      <c r="T346" t="s">
        <v>74</v>
      </c>
      <c r="U346" t="s">
        <v>5673</v>
      </c>
      <c r="V346" t="s">
        <v>5674</v>
      </c>
      <c r="W346" t="s">
        <v>5675</v>
      </c>
      <c r="X346" t="s">
        <v>5676</v>
      </c>
      <c r="Y346" t="s">
        <v>5677</v>
      </c>
      <c r="Z346" t="s">
        <v>5678</v>
      </c>
      <c r="AA346" t="s">
        <v>5679</v>
      </c>
      <c r="AB346" t="s">
        <v>5680</v>
      </c>
      <c r="AC346" t="s">
        <v>74</v>
      </c>
      <c r="AD346" t="s">
        <v>74</v>
      </c>
      <c r="AE346" t="s">
        <v>74</v>
      </c>
      <c r="AF346" t="s">
        <v>74</v>
      </c>
      <c r="AG346">
        <v>64</v>
      </c>
      <c r="AH346">
        <v>25</v>
      </c>
      <c r="AI346">
        <v>26</v>
      </c>
      <c r="AJ346">
        <v>0</v>
      </c>
      <c r="AK346">
        <v>11</v>
      </c>
      <c r="AL346" t="s">
        <v>613</v>
      </c>
      <c r="AM346" t="s">
        <v>678</v>
      </c>
      <c r="AN346" t="s">
        <v>679</v>
      </c>
      <c r="AO346" t="s">
        <v>5597</v>
      </c>
      <c r="AP346" t="s">
        <v>5598</v>
      </c>
      <c r="AQ346" t="s">
        <v>74</v>
      </c>
      <c r="AR346" t="s">
        <v>5599</v>
      </c>
      <c r="AS346" t="s">
        <v>5600</v>
      </c>
      <c r="AT346" t="s">
        <v>661</v>
      </c>
      <c r="AU346">
        <v>2007</v>
      </c>
      <c r="AV346">
        <v>30</v>
      </c>
      <c r="AW346">
        <v>2</v>
      </c>
      <c r="AX346" t="s">
        <v>74</v>
      </c>
      <c r="AY346" t="s">
        <v>74</v>
      </c>
      <c r="AZ346" t="s">
        <v>74</v>
      </c>
      <c r="BA346" t="s">
        <v>74</v>
      </c>
      <c r="BB346">
        <v>219</v>
      </c>
      <c r="BC346">
        <v>225</v>
      </c>
      <c r="BD346" t="s">
        <v>74</v>
      </c>
      <c r="BE346" t="s">
        <v>5681</v>
      </c>
      <c r="BF346" t="str">
        <f>HYPERLINK("http://dx.doi.org/10.1007/s00300-006-0175-9","http://dx.doi.org/10.1007/s00300-006-0175-9")</f>
        <v>http://dx.doi.org/10.1007/s00300-006-0175-9</v>
      </c>
      <c r="BG346" t="s">
        <v>74</v>
      </c>
      <c r="BH346" t="s">
        <v>74</v>
      </c>
      <c r="BI346">
        <v>7</v>
      </c>
      <c r="BJ346" t="s">
        <v>5602</v>
      </c>
      <c r="BK346" t="s">
        <v>97</v>
      </c>
      <c r="BL346" t="s">
        <v>5603</v>
      </c>
      <c r="BM346" t="s">
        <v>5604</v>
      </c>
      <c r="BN346" t="s">
        <v>74</v>
      </c>
      <c r="BO346" t="s">
        <v>74</v>
      </c>
      <c r="BP346" t="s">
        <v>74</v>
      </c>
      <c r="BQ346" t="s">
        <v>74</v>
      </c>
      <c r="BR346" t="s">
        <v>100</v>
      </c>
      <c r="BS346" t="s">
        <v>5682</v>
      </c>
      <c r="BT346" t="str">
        <f>HYPERLINK("https%3A%2F%2Fwww.webofscience.com%2Fwos%2Fwoscc%2Ffull-record%2FWOS:000242688200009","View Full Record in Web of Science")</f>
        <v>View Full Record in Web of Science</v>
      </c>
    </row>
    <row r="347" spans="1:72" x14ac:dyDescent="0.15">
      <c r="A347" t="s">
        <v>72</v>
      </c>
      <c r="B347" t="s">
        <v>5683</v>
      </c>
      <c r="C347" t="s">
        <v>74</v>
      </c>
      <c r="D347" t="s">
        <v>74</v>
      </c>
      <c r="E347" t="s">
        <v>74</v>
      </c>
      <c r="F347" t="s">
        <v>5684</v>
      </c>
      <c r="G347" t="s">
        <v>74</v>
      </c>
      <c r="H347" t="s">
        <v>74</v>
      </c>
      <c r="I347" t="s">
        <v>5685</v>
      </c>
      <c r="J347" t="s">
        <v>5588</v>
      </c>
      <c r="K347" t="s">
        <v>74</v>
      </c>
      <c r="L347" t="s">
        <v>74</v>
      </c>
      <c r="M347" t="s">
        <v>78</v>
      </c>
      <c r="N347" t="s">
        <v>79</v>
      </c>
      <c r="O347" t="s">
        <v>74</v>
      </c>
      <c r="P347" t="s">
        <v>74</v>
      </c>
      <c r="Q347" t="s">
        <v>74</v>
      </c>
      <c r="R347" t="s">
        <v>74</v>
      </c>
      <c r="S347" t="s">
        <v>74</v>
      </c>
      <c r="T347" t="s">
        <v>74</v>
      </c>
      <c r="U347" t="s">
        <v>5686</v>
      </c>
      <c r="V347" t="s">
        <v>5687</v>
      </c>
      <c r="W347" t="s">
        <v>5688</v>
      </c>
      <c r="X347" t="s">
        <v>5689</v>
      </c>
      <c r="Y347" t="s">
        <v>5690</v>
      </c>
      <c r="Z347" t="s">
        <v>5691</v>
      </c>
      <c r="AA347" t="s">
        <v>74</v>
      </c>
      <c r="AB347" t="s">
        <v>74</v>
      </c>
      <c r="AC347" t="s">
        <v>74</v>
      </c>
      <c r="AD347" t="s">
        <v>74</v>
      </c>
      <c r="AE347" t="s">
        <v>74</v>
      </c>
      <c r="AF347" t="s">
        <v>74</v>
      </c>
      <c r="AG347">
        <v>16</v>
      </c>
      <c r="AH347">
        <v>9</v>
      </c>
      <c r="AI347">
        <v>10</v>
      </c>
      <c r="AJ347">
        <v>0</v>
      </c>
      <c r="AK347">
        <v>0</v>
      </c>
      <c r="AL347" t="s">
        <v>613</v>
      </c>
      <c r="AM347" t="s">
        <v>678</v>
      </c>
      <c r="AN347" t="s">
        <v>5667</v>
      </c>
      <c r="AO347" t="s">
        <v>5597</v>
      </c>
      <c r="AP347" t="s">
        <v>5598</v>
      </c>
      <c r="AQ347" t="s">
        <v>74</v>
      </c>
      <c r="AR347" t="s">
        <v>5599</v>
      </c>
      <c r="AS347" t="s">
        <v>5600</v>
      </c>
      <c r="AT347" t="s">
        <v>661</v>
      </c>
      <c r="AU347">
        <v>2007</v>
      </c>
      <c r="AV347">
        <v>30</v>
      </c>
      <c r="AW347">
        <v>2</v>
      </c>
      <c r="AX347" t="s">
        <v>74</v>
      </c>
      <c r="AY347" t="s">
        <v>74</v>
      </c>
      <c r="AZ347" t="s">
        <v>74</v>
      </c>
      <c r="BA347" t="s">
        <v>74</v>
      </c>
      <c r="BB347">
        <v>249</v>
      </c>
      <c r="BC347">
        <v>252</v>
      </c>
      <c r="BD347" t="s">
        <v>74</v>
      </c>
      <c r="BE347" t="s">
        <v>5692</v>
      </c>
      <c r="BF347" t="str">
        <f>HYPERLINK("http://dx.doi.org/10.1007/s00300-006-0179-5","http://dx.doi.org/10.1007/s00300-006-0179-5")</f>
        <v>http://dx.doi.org/10.1007/s00300-006-0179-5</v>
      </c>
      <c r="BG347" t="s">
        <v>74</v>
      </c>
      <c r="BH347" t="s">
        <v>74</v>
      </c>
      <c r="BI347">
        <v>4</v>
      </c>
      <c r="BJ347" t="s">
        <v>5602</v>
      </c>
      <c r="BK347" t="s">
        <v>97</v>
      </c>
      <c r="BL347" t="s">
        <v>5603</v>
      </c>
      <c r="BM347" t="s">
        <v>5604</v>
      </c>
      <c r="BN347" t="s">
        <v>74</v>
      </c>
      <c r="BO347" t="s">
        <v>1314</v>
      </c>
      <c r="BP347" t="s">
        <v>74</v>
      </c>
      <c r="BQ347" t="s">
        <v>74</v>
      </c>
      <c r="BR347" t="s">
        <v>100</v>
      </c>
      <c r="BS347" t="s">
        <v>5693</v>
      </c>
      <c r="BT347" t="str">
        <f>HYPERLINK("https%3A%2F%2Fwww.webofscience.com%2Fwos%2Fwoscc%2Ffull-record%2FWOS:000242688200013","View Full Record in Web of Science")</f>
        <v>View Full Record in Web of Science</v>
      </c>
    </row>
    <row r="348" spans="1:72" x14ac:dyDescent="0.15">
      <c r="A348" t="s">
        <v>72</v>
      </c>
      <c r="B348" t="s">
        <v>5694</v>
      </c>
      <c r="C348" t="s">
        <v>74</v>
      </c>
      <c r="D348" t="s">
        <v>74</v>
      </c>
      <c r="E348" t="s">
        <v>74</v>
      </c>
      <c r="F348" t="s">
        <v>5695</v>
      </c>
      <c r="G348" t="s">
        <v>74</v>
      </c>
      <c r="H348" t="s">
        <v>74</v>
      </c>
      <c r="I348" t="s">
        <v>5696</v>
      </c>
      <c r="J348" t="s">
        <v>5697</v>
      </c>
      <c r="K348" t="s">
        <v>74</v>
      </c>
      <c r="L348" t="s">
        <v>74</v>
      </c>
      <c r="M348" t="s">
        <v>78</v>
      </c>
      <c r="N348" t="s">
        <v>4036</v>
      </c>
      <c r="O348" t="s">
        <v>74</v>
      </c>
      <c r="P348" t="s">
        <v>74</v>
      </c>
      <c r="Q348" t="s">
        <v>74</v>
      </c>
      <c r="R348" t="s">
        <v>74</v>
      </c>
      <c r="S348" t="s">
        <v>74</v>
      </c>
      <c r="T348" t="s">
        <v>74</v>
      </c>
      <c r="U348" t="s">
        <v>74</v>
      </c>
      <c r="V348" t="s">
        <v>74</v>
      </c>
      <c r="W348" t="s">
        <v>5698</v>
      </c>
      <c r="X348" t="s">
        <v>5699</v>
      </c>
      <c r="Y348" t="s">
        <v>5700</v>
      </c>
      <c r="Z348" t="s">
        <v>74</v>
      </c>
      <c r="AA348" t="s">
        <v>74</v>
      </c>
      <c r="AB348" t="s">
        <v>74</v>
      </c>
      <c r="AC348" t="s">
        <v>74</v>
      </c>
      <c r="AD348" t="s">
        <v>74</v>
      </c>
      <c r="AE348" t="s">
        <v>74</v>
      </c>
      <c r="AF348" t="s">
        <v>74</v>
      </c>
      <c r="AG348">
        <v>1</v>
      </c>
      <c r="AH348">
        <v>0</v>
      </c>
      <c r="AI348">
        <v>0</v>
      </c>
      <c r="AJ348">
        <v>0</v>
      </c>
      <c r="AK348">
        <v>0</v>
      </c>
      <c r="AL348" t="s">
        <v>4858</v>
      </c>
      <c r="AM348" t="s">
        <v>4859</v>
      </c>
      <c r="AN348" t="s">
        <v>4860</v>
      </c>
      <c r="AO348" t="s">
        <v>5701</v>
      </c>
      <c r="AP348" t="s">
        <v>5702</v>
      </c>
      <c r="AQ348" t="s">
        <v>74</v>
      </c>
      <c r="AR348" t="s">
        <v>5703</v>
      </c>
      <c r="AS348" t="s">
        <v>5704</v>
      </c>
      <c r="AT348" t="s">
        <v>74</v>
      </c>
      <c r="AU348">
        <v>2007</v>
      </c>
      <c r="AV348">
        <v>30</v>
      </c>
      <c r="AW348" t="s">
        <v>94</v>
      </c>
      <c r="AX348" t="s">
        <v>74</v>
      </c>
      <c r="AY348" t="s">
        <v>74</v>
      </c>
      <c r="AZ348" t="s">
        <v>74</v>
      </c>
      <c r="BA348" t="s">
        <v>74</v>
      </c>
      <c r="BB348">
        <v>79</v>
      </c>
      <c r="BC348">
        <v>80</v>
      </c>
      <c r="BD348" t="s">
        <v>74</v>
      </c>
      <c r="BE348" t="s">
        <v>5705</v>
      </c>
      <c r="BF348" t="str">
        <f>HYPERLINK("http://dx.doi.org/10.1080/10889370701666549","http://dx.doi.org/10.1080/10889370701666549")</f>
        <v>http://dx.doi.org/10.1080/10889370701666549</v>
      </c>
      <c r="BG348" t="s">
        <v>74</v>
      </c>
      <c r="BH348" t="s">
        <v>74</v>
      </c>
      <c r="BI348">
        <v>2</v>
      </c>
      <c r="BJ348" t="s">
        <v>5706</v>
      </c>
      <c r="BK348" t="s">
        <v>643</v>
      </c>
      <c r="BL348" t="s">
        <v>5707</v>
      </c>
      <c r="BM348" t="s">
        <v>5708</v>
      </c>
      <c r="BN348" t="s">
        <v>74</v>
      </c>
      <c r="BO348" t="s">
        <v>74</v>
      </c>
      <c r="BP348" t="s">
        <v>74</v>
      </c>
      <c r="BQ348" t="s">
        <v>74</v>
      </c>
      <c r="BR348" t="s">
        <v>100</v>
      </c>
      <c r="BS348" t="s">
        <v>5709</v>
      </c>
      <c r="BT348" t="str">
        <f>HYPERLINK("https%3A%2F%2Fwww.webofscience.com%2Fwos%2Fwoscc%2Ffull-record%2FWOS:000211100400007","View Full Record in Web of Science")</f>
        <v>View Full Record in Web of Science</v>
      </c>
    </row>
    <row r="349" spans="1:72" x14ac:dyDescent="0.15">
      <c r="A349" t="s">
        <v>72</v>
      </c>
      <c r="B349" t="s">
        <v>5710</v>
      </c>
      <c r="C349" t="s">
        <v>74</v>
      </c>
      <c r="D349" t="s">
        <v>74</v>
      </c>
      <c r="E349" t="s">
        <v>74</v>
      </c>
      <c r="F349" t="s">
        <v>5711</v>
      </c>
      <c r="G349" t="s">
        <v>74</v>
      </c>
      <c r="H349" t="s">
        <v>74</v>
      </c>
      <c r="I349" t="s">
        <v>5712</v>
      </c>
      <c r="J349" t="s">
        <v>5713</v>
      </c>
      <c r="K349" t="s">
        <v>74</v>
      </c>
      <c r="L349" t="s">
        <v>74</v>
      </c>
      <c r="M349" t="s">
        <v>78</v>
      </c>
      <c r="N349" t="s">
        <v>79</v>
      </c>
      <c r="O349" t="s">
        <v>74</v>
      </c>
      <c r="P349" t="s">
        <v>74</v>
      </c>
      <c r="Q349" t="s">
        <v>74</v>
      </c>
      <c r="R349" t="s">
        <v>74</v>
      </c>
      <c r="S349" t="s">
        <v>74</v>
      </c>
      <c r="T349" t="s">
        <v>74</v>
      </c>
      <c r="U349" t="s">
        <v>74</v>
      </c>
      <c r="V349" t="s">
        <v>5714</v>
      </c>
      <c r="W349" t="s">
        <v>5715</v>
      </c>
      <c r="X349" t="s">
        <v>917</v>
      </c>
      <c r="Y349" t="s">
        <v>5716</v>
      </c>
      <c r="Z349" t="s">
        <v>74</v>
      </c>
      <c r="AA349" t="s">
        <v>74</v>
      </c>
      <c r="AB349" t="s">
        <v>74</v>
      </c>
      <c r="AC349" t="s">
        <v>74</v>
      </c>
      <c r="AD349" t="s">
        <v>74</v>
      </c>
      <c r="AE349" t="s">
        <v>74</v>
      </c>
      <c r="AF349" t="s">
        <v>74</v>
      </c>
      <c r="AG349">
        <v>91</v>
      </c>
      <c r="AH349">
        <v>7</v>
      </c>
      <c r="AI349">
        <v>8</v>
      </c>
      <c r="AJ349">
        <v>0</v>
      </c>
      <c r="AK349">
        <v>8</v>
      </c>
      <c r="AL349" t="s">
        <v>221</v>
      </c>
      <c r="AM349" t="s">
        <v>678</v>
      </c>
      <c r="AN349" t="s">
        <v>2692</v>
      </c>
      <c r="AO349" t="s">
        <v>5717</v>
      </c>
      <c r="AP349" t="s">
        <v>74</v>
      </c>
      <c r="AQ349" t="s">
        <v>74</v>
      </c>
      <c r="AR349" t="s">
        <v>5718</v>
      </c>
      <c r="AS349" t="s">
        <v>5719</v>
      </c>
      <c r="AT349" t="s">
        <v>661</v>
      </c>
      <c r="AU349">
        <v>2007</v>
      </c>
      <c r="AV349">
        <v>43</v>
      </c>
      <c r="AW349">
        <v>224</v>
      </c>
      <c r="AX349" t="s">
        <v>74</v>
      </c>
      <c r="AY349" t="s">
        <v>74</v>
      </c>
      <c r="AZ349" t="s">
        <v>74</v>
      </c>
      <c r="BA349" t="s">
        <v>74</v>
      </c>
      <c r="BB349">
        <v>1</v>
      </c>
      <c r="BC349">
        <v>21</v>
      </c>
      <c r="BD349" t="s">
        <v>74</v>
      </c>
      <c r="BE349" t="s">
        <v>5720</v>
      </c>
      <c r="BF349" t="str">
        <f>HYPERLINK("http://dx.doi.org/10.1017/S003224740600578X","http://dx.doi.org/10.1017/S003224740600578X")</f>
        <v>http://dx.doi.org/10.1017/S003224740600578X</v>
      </c>
      <c r="BG349" t="s">
        <v>74</v>
      </c>
      <c r="BH349" t="s">
        <v>74</v>
      </c>
      <c r="BI349">
        <v>21</v>
      </c>
      <c r="BJ349" t="s">
        <v>3165</v>
      </c>
      <c r="BK349" t="s">
        <v>97</v>
      </c>
      <c r="BL349" t="s">
        <v>226</v>
      </c>
      <c r="BM349" t="s">
        <v>5721</v>
      </c>
      <c r="BN349" t="s">
        <v>74</v>
      </c>
      <c r="BO349" t="s">
        <v>74</v>
      </c>
      <c r="BP349" t="s">
        <v>74</v>
      </c>
      <c r="BQ349" t="s">
        <v>74</v>
      </c>
      <c r="BR349" t="s">
        <v>100</v>
      </c>
      <c r="BS349" t="s">
        <v>5722</v>
      </c>
      <c r="BT349" t="str">
        <f>HYPERLINK("https%3A%2F%2Fwww.webofscience.com%2Fwos%2Fwoscc%2Ffull-record%2FWOS:000244195300001","View Full Record in Web of Science")</f>
        <v>View Full Record in Web of Science</v>
      </c>
    </row>
    <row r="350" spans="1:72" x14ac:dyDescent="0.15">
      <c r="A350" t="s">
        <v>72</v>
      </c>
      <c r="B350" t="s">
        <v>5723</v>
      </c>
      <c r="C350" t="s">
        <v>74</v>
      </c>
      <c r="D350" t="s">
        <v>74</v>
      </c>
      <c r="E350" t="s">
        <v>74</v>
      </c>
      <c r="F350" t="s">
        <v>5724</v>
      </c>
      <c r="G350" t="s">
        <v>74</v>
      </c>
      <c r="H350" t="s">
        <v>74</v>
      </c>
      <c r="I350" t="s">
        <v>5725</v>
      </c>
      <c r="J350" t="s">
        <v>5713</v>
      </c>
      <c r="K350" t="s">
        <v>74</v>
      </c>
      <c r="L350" t="s">
        <v>74</v>
      </c>
      <c r="M350" t="s">
        <v>78</v>
      </c>
      <c r="N350" t="s">
        <v>79</v>
      </c>
      <c r="O350" t="s">
        <v>74</v>
      </c>
      <c r="P350" t="s">
        <v>74</v>
      </c>
      <c r="Q350" t="s">
        <v>74</v>
      </c>
      <c r="R350" t="s">
        <v>74</v>
      </c>
      <c r="S350" t="s">
        <v>74</v>
      </c>
      <c r="T350" t="s">
        <v>74</v>
      </c>
      <c r="U350" t="s">
        <v>74</v>
      </c>
      <c r="V350" t="s">
        <v>5726</v>
      </c>
      <c r="W350" t="s">
        <v>5727</v>
      </c>
      <c r="X350" t="s">
        <v>74</v>
      </c>
      <c r="Y350" t="s">
        <v>5728</v>
      </c>
      <c r="Z350" t="s">
        <v>74</v>
      </c>
      <c r="AA350" t="s">
        <v>74</v>
      </c>
      <c r="AB350" t="s">
        <v>74</v>
      </c>
      <c r="AC350" t="s">
        <v>74</v>
      </c>
      <c r="AD350" t="s">
        <v>74</v>
      </c>
      <c r="AE350" t="s">
        <v>74</v>
      </c>
      <c r="AF350" t="s">
        <v>74</v>
      </c>
      <c r="AG350">
        <v>78</v>
      </c>
      <c r="AH350">
        <v>4</v>
      </c>
      <c r="AI350">
        <v>4</v>
      </c>
      <c r="AJ350">
        <v>0</v>
      </c>
      <c r="AK350">
        <v>2</v>
      </c>
      <c r="AL350" t="s">
        <v>221</v>
      </c>
      <c r="AM350" t="s">
        <v>678</v>
      </c>
      <c r="AN350" t="s">
        <v>2692</v>
      </c>
      <c r="AO350" t="s">
        <v>5717</v>
      </c>
      <c r="AP350" t="s">
        <v>74</v>
      </c>
      <c r="AQ350" t="s">
        <v>74</v>
      </c>
      <c r="AR350" t="s">
        <v>5718</v>
      </c>
      <c r="AS350" t="s">
        <v>5719</v>
      </c>
      <c r="AT350" t="s">
        <v>661</v>
      </c>
      <c r="AU350">
        <v>2007</v>
      </c>
      <c r="AV350">
        <v>43</v>
      </c>
      <c r="AW350">
        <v>224</v>
      </c>
      <c r="AX350" t="s">
        <v>74</v>
      </c>
      <c r="AY350" t="s">
        <v>74</v>
      </c>
      <c r="AZ350" t="s">
        <v>74</v>
      </c>
      <c r="BA350" t="s">
        <v>74</v>
      </c>
      <c r="BB350">
        <v>55</v>
      </c>
      <c r="BC350">
        <v>66</v>
      </c>
      <c r="BD350" t="s">
        <v>74</v>
      </c>
      <c r="BE350" t="s">
        <v>5729</v>
      </c>
      <c r="BF350" t="str">
        <f>HYPERLINK("http://dx.doi.org/10.1017/S0032247406005791","http://dx.doi.org/10.1017/S0032247406005791")</f>
        <v>http://dx.doi.org/10.1017/S0032247406005791</v>
      </c>
      <c r="BG350" t="s">
        <v>74</v>
      </c>
      <c r="BH350" t="s">
        <v>74</v>
      </c>
      <c r="BI350">
        <v>12</v>
      </c>
      <c r="BJ350" t="s">
        <v>3165</v>
      </c>
      <c r="BK350" t="s">
        <v>97</v>
      </c>
      <c r="BL350" t="s">
        <v>226</v>
      </c>
      <c r="BM350" t="s">
        <v>5721</v>
      </c>
      <c r="BN350" t="s">
        <v>74</v>
      </c>
      <c r="BO350" t="s">
        <v>74</v>
      </c>
      <c r="BP350" t="s">
        <v>74</v>
      </c>
      <c r="BQ350" t="s">
        <v>74</v>
      </c>
      <c r="BR350" t="s">
        <v>100</v>
      </c>
      <c r="BS350" t="s">
        <v>5730</v>
      </c>
      <c r="BT350" t="str">
        <f>HYPERLINK("https%3A%2F%2Fwww.webofscience.com%2Fwos%2Fwoscc%2Ffull-record%2FWOS:000244195300005","View Full Record in Web of Science")</f>
        <v>View Full Record in Web of Science</v>
      </c>
    </row>
    <row r="351" spans="1:72" x14ac:dyDescent="0.15">
      <c r="A351" t="s">
        <v>72</v>
      </c>
      <c r="B351" t="s">
        <v>5731</v>
      </c>
      <c r="C351" t="s">
        <v>74</v>
      </c>
      <c r="D351" t="s">
        <v>74</v>
      </c>
      <c r="E351" t="s">
        <v>74</v>
      </c>
      <c r="F351" t="s">
        <v>5732</v>
      </c>
      <c r="G351" t="s">
        <v>74</v>
      </c>
      <c r="H351" t="s">
        <v>74</v>
      </c>
      <c r="I351" t="s">
        <v>5733</v>
      </c>
      <c r="J351" t="s">
        <v>5734</v>
      </c>
      <c r="K351" t="s">
        <v>74</v>
      </c>
      <c r="L351" t="s">
        <v>74</v>
      </c>
      <c r="M351" t="s">
        <v>78</v>
      </c>
      <c r="N351" t="s">
        <v>79</v>
      </c>
      <c r="O351" t="s">
        <v>74</v>
      </c>
      <c r="P351" t="s">
        <v>74</v>
      </c>
      <c r="Q351" t="s">
        <v>74</v>
      </c>
      <c r="R351" t="s">
        <v>74</v>
      </c>
      <c r="S351" t="s">
        <v>74</v>
      </c>
      <c r="T351" t="s">
        <v>5735</v>
      </c>
      <c r="U351" t="s">
        <v>5736</v>
      </c>
      <c r="V351" t="s">
        <v>5737</v>
      </c>
      <c r="W351" t="s">
        <v>5738</v>
      </c>
      <c r="X351" t="s">
        <v>5739</v>
      </c>
      <c r="Y351" t="s">
        <v>5740</v>
      </c>
      <c r="Z351" t="s">
        <v>5741</v>
      </c>
      <c r="AA351" t="s">
        <v>5742</v>
      </c>
      <c r="AB351" t="s">
        <v>5743</v>
      </c>
      <c r="AC351" t="s">
        <v>74</v>
      </c>
      <c r="AD351" t="s">
        <v>74</v>
      </c>
      <c r="AE351" t="s">
        <v>74</v>
      </c>
      <c r="AF351" t="s">
        <v>74</v>
      </c>
      <c r="AG351">
        <v>15</v>
      </c>
      <c r="AH351">
        <v>24</v>
      </c>
      <c r="AI351">
        <v>25</v>
      </c>
      <c r="AJ351">
        <v>0</v>
      </c>
      <c r="AK351">
        <v>12</v>
      </c>
      <c r="AL351" t="s">
        <v>5744</v>
      </c>
      <c r="AM351" t="s">
        <v>818</v>
      </c>
      <c r="AN351" t="s">
        <v>5745</v>
      </c>
      <c r="AO351" t="s">
        <v>5746</v>
      </c>
      <c r="AP351" t="s">
        <v>74</v>
      </c>
      <c r="AQ351" t="s">
        <v>74</v>
      </c>
      <c r="AR351" t="s">
        <v>5747</v>
      </c>
      <c r="AS351" t="s">
        <v>5748</v>
      </c>
      <c r="AT351" t="s">
        <v>74</v>
      </c>
      <c r="AU351">
        <v>2007</v>
      </c>
      <c r="AV351">
        <v>26</v>
      </c>
      <c r="AW351">
        <v>2</v>
      </c>
      <c r="AX351" t="s">
        <v>74</v>
      </c>
      <c r="AY351" t="s">
        <v>74</v>
      </c>
      <c r="AZ351" t="s">
        <v>74</v>
      </c>
      <c r="BA351" t="s">
        <v>74</v>
      </c>
      <c r="BB351">
        <v>126</v>
      </c>
      <c r="BC351">
        <v>134</v>
      </c>
      <c r="BD351" t="s">
        <v>74</v>
      </c>
      <c r="BE351" t="s">
        <v>5749</v>
      </c>
      <c r="BF351" t="str">
        <f>HYPERLINK("http://dx.doi.org/10.1111/j.1751-8369.2007.00033.x","http://dx.doi.org/10.1111/j.1751-8369.2007.00033.x")</f>
        <v>http://dx.doi.org/10.1111/j.1751-8369.2007.00033.x</v>
      </c>
      <c r="BG351" t="s">
        <v>74</v>
      </c>
      <c r="BH351" t="s">
        <v>74</v>
      </c>
      <c r="BI351">
        <v>9</v>
      </c>
      <c r="BJ351" t="s">
        <v>5750</v>
      </c>
      <c r="BK351" t="s">
        <v>97</v>
      </c>
      <c r="BL351" t="s">
        <v>5751</v>
      </c>
      <c r="BM351" t="s">
        <v>5752</v>
      </c>
      <c r="BN351" t="s">
        <v>74</v>
      </c>
      <c r="BO351" t="s">
        <v>5753</v>
      </c>
      <c r="BP351" t="s">
        <v>74</v>
      </c>
      <c r="BQ351" t="s">
        <v>74</v>
      </c>
      <c r="BR351" t="s">
        <v>100</v>
      </c>
      <c r="BS351" t="s">
        <v>5754</v>
      </c>
      <c r="BT351" t="str">
        <f>HYPERLINK("https%3A%2F%2Fwww.webofscience.com%2Fwos%2Fwoscc%2Ffull-record%2FWOS:000249396100008","View Full Record in Web of Science")</f>
        <v>View Full Record in Web of Science</v>
      </c>
    </row>
    <row r="352" spans="1:72" x14ac:dyDescent="0.15">
      <c r="A352" t="s">
        <v>72</v>
      </c>
      <c r="B352" t="s">
        <v>5755</v>
      </c>
      <c r="C352" t="s">
        <v>74</v>
      </c>
      <c r="D352" t="s">
        <v>74</v>
      </c>
      <c r="E352" t="s">
        <v>74</v>
      </c>
      <c r="F352" t="s">
        <v>5756</v>
      </c>
      <c r="G352" t="s">
        <v>74</v>
      </c>
      <c r="H352" t="s">
        <v>74</v>
      </c>
      <c r="I352" t="s">
        <v>5757</v>
      </c>
      <c r="J352" t="s">
        <v>5734</v>
      </c>
      <c r="K352" t="s">
        <v>74</v>
      </c>
      <c r="L352" t="s">
        <v>74</v>
      </c>
      <c r="M352" t="s">
        <v>78</v>
      </c>
      <c r="N352" t="s">
        <v>79</v>
      </c>
      <c r="O352" t="s">
        <v>74</v>
      </c>
      <c r="P352" t="s">
        <v>74</v>
      </c>
      <c r="Q352" t="s">
        <v>74</v>
      </c>
      <c r="R352" t="s">
        <v>74</v>
      </c>
      <c r="S352" t="s">
        <v>74</v>
      </c>
      <c r="T352" t="s">
        <v>5758</v>
      </c>
      <c r="U352" t="s">
        <v>74</v>
      </c>
      <c r="V352" t="s">
        <v>5759</v>
      </c>
      <c r="W352" t="s">
        <v>5760</v>
      </c>
      <c r="X352" t="s">
        <v>5761</v>
      </c>
      <c r="Y352" t="s">
        <v>5762</v>
      </c>
      <c r="Z352" t="s">
        <v>5763</v>
      </c>
      <c r="AA352" t="s">
        <v>5764</v>
      </c>
      <c r="AB352" t="s">
        <v>5765</v>
      </c>
      <c r="AC352" t="s">
        <v>74</v>
      </c>
      <c r="AD352" t="s">
        <v>74</v>
      </c>
      <c r="AE352" t="s">
        <v>74</v>
      </c>
      <c r="AF352" t="s">
        <v>74</v>
      </c>
      <c r="AG352">
        <v>7</v>
      </c>
      <c r="AH352">
        <v>18</v>
      </c>
      <c r="AI352">
        <v>22</v>
      </c>
      <c r="AJ352">
        <v>1</v>
      </c>
      <c r="AK352">
        <v>19</v>
      </c>
      <c r="AL352" t="s">
        <v>5744</v>
      </c>
      <c r="AM352" t="s">
        <v>818</v>
      </c>
      <c r="AN352" t="s">
        <v>5745</v>
      </c>
      <c r="AO352" t="s">
        <v>5746</v>
      </c>
      <c r="AP352" t="s">
        <v>74</v>
      </c>
      <c r="AQ352" t="s">
        <v>74</v>
      </c>
      <c r="AR352" t="s">
        <v>5747</v>
      </c>
      <c r="AS352" t="s">
        <v>5748</v>
      </c>
      <c r="AT352" t="s">
        <v>74</v>
      </c>
      <c r="AU352">
        <v>2007</v>
      </c>
      <c r="AV352">
        <v>26</v>
      </c>
      <c r="AW352">
        <v>2</v>
      </c>
      <c r="AX352" t="s">
        <v>74</v>
      </c>
      <c r="AY352" t="s">
        <v>74</v>
      </c>
      <c r="AZ352" t="s">
        <v>74</v>
      </c>
      <c r="BA352" t="s">
        <v>74</v>
      </c>
      <c r="BB352">
        <v>175</v>
      </c>
      <c r="BC352">
        <v>180</v>
      </c>
      <c r="BD352" t="s">
        <v>74</v>
      </c>
      <c r="BE352" t="s">
        <v>5766</v>
      </c>
      <c r="BF352" t="str">
        <f>HYPERLINK("http://dx.doi.org/10.1111/j.1751-8369.2007.00017.x","http://dx.doi.org/10.1111/j.1751-8369.2007.00017.x")</f>
        <v>http://dx.doi.org/10.1111/j.1751-8369.2007.00017.x</v>
      </c>
      <c r="BG352" t="s">
        <v>74</v>
      </c>
      <c r="BH352" t="s">
        <v>74</v>
      </c>
      <c r="BI352">
        <v>6</v>
      </c>
      <c r="BJ352" t="s">
        <v>5750</v>
      </c>
      <c r="BK352" t="s">
        <v>97</v>
      </c>
      <c r="BL352" t="s">
        <v>5751</v>
      </c>
      <c r="BM352" t="s">
        <v>5752</v>
      </c>
      <c r="BN352" t="s">
        <v>74</v>
      </c>
      <c r="BO352" t="s">
        <v>124</v>
      </c>
      <c r="BP352" t="s">
        <v>74</v>
      </c>
      <c r="BQ352" t="s">
        <v>74</v>
      </c>
      <c r="BR352" t="s">
        <v>100</v>
      </c>
      <c r="BS352" t="s">
        <v>5767</v>
      </c>
      <c r="BT352" t="str">
        <f>HYPERLINK("https%3A%2F%2Fwww.webofscience.com%2Fwos%2Fwoscc%2Ffull-record%2FWOS:000249396100013","View Full Record in Web of Science")</f>
        <v>View Full Record in Web of Science</v>
      </c>
    </row>
    <row r="353" spans="1:72" x14ac:dyDescent="0.15">
      <c r="A353" t="s">
        <v>72</v>
      </c>
      <c r="B353" t="s">
        <v>5768</v>
      </c>
      <c r="C353" t="s">
        <v>74</v>
      </c>
      <c r="D353" t="s">
        <v>74</v>
      </c>
      <c r="E353" t="s">
        <v>74</v>
      </c>
      <c r="F353" t="s">
        <v>5769</v>
      </c>
      <c r="G353" t="s">
        <v>74</v>
      </c>
      <c r="H353" t="s">
        <v>74</v>
      </c>
      <c r="I353" t="s">
        <v>5770</v>
      </c>
      <c r="J353" t="s">
        <v>5771</v>
      </c>
      <c r="K353" t="s">
        <v>74</v>
      </c>
      <c r="L353" t="s">
        <v>74</v>
      </c>
      <c r="M353" t="s">
        <v>78</v>
      </c>
      <c r="N353" t="s">
        <v>79</v>
      </c>
      <c r="O353" t="s">
        <v>74</v>
      </c>
      <c r="P353" t="s">
        <v>74</v>
      </c>
      <c r="Q353" t="s">
        <v>74</v>
      </c>
      <c r="R353" t="s">
        <v>74</v>
      </c>
      <c r="S353" t="s">
        <v>74</v>
      </c>
      <c r="T353" t="s">
        <v>5772</v>
      </c>
      <c r="U353" t="s">
        <v>5773</v>
      </c>
      <c r="V353" t="s">
        <v>5774</v>
      </c>
      <c r="W353" t="s">
        <v>5775</v>
      </c>
      <c r="X353" t="s">
        <v>5776</v>
      </c>
      <c r="Y353" t="s">
        <v>5777</v>
      </c>
      <c r="Z353" t="s">
        <v>5778</v>
      </c>
      <c r="AA353" t="s">
        <v>5779</v>
      </c>
      <c r="AB353" t="s">
        <v>5780</v>
      </c>
      <c r="AC353" t="s">
        <v>74</v>
      </c>
      <c r="AD353" t="s">
        <v>74</v>
      </c>
      <c r="AE353" t="s">
        <v>74</v>
      </c>
      <c r="AF353" t="s">
        <v>74</v>
      </c>
      <c r="AG353">
        <v>29</v>
      </c>
      <c r="AH353">
        <v>29</v>
      </c>
      <c r="AI353">
        <v>31</v>
      </c>
      <c r="AJ353">
        <v>1</v>
      </c>
      <c r="AK353">
        <v>23</v>
      </c>
      <c r="AL353" t="s">
        <v>5781</v>
      </c>
      <c r="AM353" t="s">
        <v>5782</v>
      </c>
      <c r="AN353" t="s">
        <v>5783</v>
      </c>
      <c r="AO353" t="s">
        <v>5784</v>
      </c>
      <c r="AP353" t="s">
        <v>74</v>
      </c>
      <c r="AQ353" t="s">
        <v>74</v>
      </c>
      <c r="AR353" t="s">
        <v>5785</v>
      </c>
      <c r="AS353" t="s">
        <v>5786</v>
      </c>
      <c r="AT353" t="s">
        <v>74</v>
      </c>
      <c r="AU353">
        <v>2007</v>
      </c>
      <c r="AV353">
        <v>55</v>
      </c>
      <c r="AW353">
        <v>1</v>
      </c>
      <c r="AX353" t="s">
        <v>74</v>
      </c>
      <c r="AY353" t="s">
        <v>74</v>
      </c>
      <c r="AZ353" t="s">
        <v>74</v>
      </c>
      <c r="BA353" t="s">
        <v>74</v>
      </c>
      <c r="BB353">
        <v>39</v>
      </c>
      <c r="BC353">
        <v>48</v>
      </c>
      <c r="BD353" t="s">
        <v>74</v>
      </c>
      <c r="BE353" t="s">
        <v>74</v>
      </c>
      <c r="BF353" t="s">
        <v>74</v>
      </c>
      <c r="BG353" t="s">
        <v>74</v>
      </c>
      <c r="BH353" t="s">
        <v>74</v>
      </c>
      <c r="BI353">
        <v>10</v>
      </c>
      <c r="BJ353" t="s">
        <v>5787</v>
      </c>
      <c r="BK353" t="s">
        <v>97</v>
      </c>
      <c r="BL353" t="s">
        <v>226</v>
      </c>
      <c r="BM353" t="s">
        <v>5788</v>
      </c>
      <c r="BN353" t="s">
        <v>74</v>
      </c>
      <c r="BO353" t="s">
        <v>74</v>
      </c>
      <c r="BP353" t="s">
        <v>74</v>
      </c>
      <c r="BQ353" t="s">
        <v>74</v>
      </c>
      <c r="BR353" t="s">
        <v>100</v>
      </c>
      <c r="BS353" t="s">
        <v>5789</v>
      </c>
      <c r="BT353" t="str">
        <f>HYPERLINK("https%3A%2F%2Fwww.webofscience.com%2Fwos%2Fwoscc%2Ffull-record%2FWOS:000244977800004","View Full Record in Web of Science")</f>
        <v>View Full Record in Web of Science</v>
      </c>
    </row>
    <row r="354" spans="1:72" x14ac:dyDescent="0.15">
      <c r="A354" t="s">
        <v>72</v>
      </c>
      <c r="B354" t="s">
        <v>5790</v>
      </c>
      <c r="C354" t="s">
        <v>74</v>
      </c>
      <c r="D354" t="s">
        <v>74</v>
      </c>
      <c r="E354" t="s">
        <v>74</v>
      </c>
      <c r="F354" t="s">
        <v>5791</v>
      </c>
      <c r="G354" t="s">
        <v>74</v>
      </c>
      <c r="H354" t="s">
        <v>74</v>
      </c>
      <c r="I354" t="s">
        <v>5792</v>
      </c>
      <c r="J354" t="s">
        <v>5771</v>
      </c>
      <c r="K354" t="s">
        <v>74</v>
      </c>
      <c r="L354" t="s">
        <v>74</v>
      </c>
      <c r="M354" t="s">
        <v>78</v>
      </c>
      <c r="N354" t="s">
        <v>79</v>
      </c>
      <c r="O354" t="s">
        <v>74</v>
      </c>
      <c r="P354" t="s">
        <v>74</v>
      </c>
      <c r="Q354" t="s">
        <v>74</v>
      </c>
      <c r="R354" t="s">
        <v>74</v>
      </c>
      <c r="S354" t="s">
        <v>74</v>
      </c>
      <c r="T354" t="s">
        <v>5793</v>
      </c>
      <c r="U354" t="s">
        <v>5794</v>
      </c>
      <c r="V354" t="s">
        <v>5795</v>
      </c>
      <c r="W354" t="s">
        <v>5796</v>
      </c>
      <c r="X354" t="s">
        <v>5797</v>
      </c>
      <c r="Y354" t="s">
        <v>5798</v>
      </c>
      <c r="Z354" t="s">
        <v>5799</v>
      </c>
      <c r="AA354" t="s">
        <v>5800</v>
      </c>
      <c r="AB354" t="s">
        <v>5801</v>
      </c>
      <c r="AC354" t="s">
        <v>74</v>
      </c>
      <c r="AD354" t="s">
        <v>74</v>
      </c>
      <c r="AE354" t="s">
        <v>74</v>
      </c>
      <c r="AF354" t="s">
        <v>74</v>
      </c>
      <c r="AG354">
        <v>40</v>
      </c>
      <c r="AH354">
        <v>9</v>
      </c>
      <c r="AI354">
        <v>11</v>
      </c>
      <c r="AJ354">
        <v>0</v>
      </c>
      <c r="AK354">
        <v>9</v>
      </c>
      <c r="AL354" t="s">
        <v>5781</v>
      </c>
      <c r="AM354" t="s">
        <v>5782</v>
      </c>
      <c r="AN354" t="s">
        <v>5783</v>
      </c>
      <c r="AO354" t="s">
        <v>5784</v>
      </c>
      <c r="AP354" t="s">
        <v>74</v>
      </c>
      <c r="AQ354" t="s">
        <v>74</v>
      </c>
      <c r="AR354" t="s">
        <v>5785</v>
      </c>
      <c r="AS354" t="s">
        <v>5786</v>
      </c>
      <c r="AT354" t="s">
        <v>74</v>
      </c>
      <c r="AU354">
        <v>2007</v>
      </c>
      <c r="AV354">
        <v>55</v>
      </c>
      <c r="AW354">
        <v>4</v>
      </c>
      <c r="AX354" t="s">
        <v>74</v>
      </c>
      <c r="AY354" t="s">
        <v>74</v>
      </c>
      <c r="AZ354" t="s">
        <v>74</v>
      </c>
      <c r="BA354" t="s">
        <v>74</v>
      </c>
      <c r="BB354">
        <v>705</v>
      </c>
      <c r="BC354">
        <v>716</v>
      </c>
      <c r="BD354" t="s">
        <v>74</v>
      </c>
      <c r="BE354" t="s">
        <v>74</v>
      </c>
      <c r="BF354" t="s">
        <v>74</v>
      </c>
      <c r="BG354" t="s">
        <v>74</v>
      </c>
      <c r="BH354" t="s">
        <v>74</v>
      </c>
      <c r="BI354">
        <v>12</v>
      </c>
      <c r="BJ354" t="s">
        <v>5787</v>
      </c>
      <c r="BK354" t="s">
        <v>97</v>
      </c>
      <c r="BL354" t="s">
        <v>226</v>
      </c>
      <c r="BM354" t="s">
        <v>5802</v>
      </c>
      <c r="BN354" t="s">
        <v>74</v>
      </c>
      <c r="BO354" t="s">
        <v>74</v>
      </c>
      <c r="BP354" t="s">
        <v>74</v>
      </c>
      <c r="BQ354" t="s">
        <v>74</v>
      </c>
      <c r="BR354" t="s">
        <v>100</v>
      </c>
      <c r="BS354" t="s">
        <v>5803</v>
      </c>
      <c r="BT354" t="str">
        <f>HYPERLINK("https%3A%2F%2Fwww.webofscience.com%2Fwos%2Fwoscc%2Ffull-record%2FWOS:000251957300007","View Full Record in Web of Science")</f>
        <v>View Full Record in Web of Science</v>
      </c>
    </row>
    <row r="355" spans="1:72" x14ac:dyDescent="0.15">
      <c r="A355" t="s">
        <v>888</v>
      </c>
      <c r="B355" t="s">
        <v>5804</v>
      </c>
      <c r="C355" t="s">
        <v>74</v>
      </c>
      <c r="D355" t="s">
        <v>5805</v>
      </c>
      <c r="E355" t="s">
        <v>74</v>
      </c>
      <c r="F355" t="s">
        <v>5806</v>
      </c>
      <c r="G355" t="s">
        <v>74</v>
      </c>
      <c r="H355" t="s">
        <v>74</v>
      </c>
      <c r="I355" t="s">
        <v>5807</v>
      </c>
      <c r="J355" t="s">
        <v>5808</v>
      </c>
      <c r="K355" t="s">
        <v>5809</v>
      </c>
      <c r="L355" t="s">
        <v>74</v>
      </c>
      <c r="M355" t="s">
        <v>78</v>
      </c>
      <c r="N355" t="s">
        <v>219</v>
      </c>
      <c r="O355" t="s">
        <v>74</v>
      </c>
      <c r="P355" t="s">
        <v>74</v>
      </c>
      <c r="Q355" t="s">
        <v>74</v>
      </c>
      <c r="R355" t="s">
        <v>74</v>
      </c>
      <c r="S355" t="s">
        <v>74</v>
      </c>
      <c r="T355" t="s">
        <v>74</v>
      </c>
      <c r="U355" t="s">
        <v>5810</v>
      </c>
      <c r="V355" t="s">
        <v>5811</v>
      </c>
      <c r="W355" t="s">
        <v>5812</v>
      </c>
      <c r="X355" t="s">
        <v>5813</v>
      </c>
      <c r="Y355" t="s">
        <v>5814</v>
      </c>
      <c r="Z355" t="s">
        <v>74</v>
      </c>
      <c r="AA355" t="s">
        <v>74</v>
      </c>
      <c r="AB355" t="s">
        <v>5815</v>
      </c>
      <c r="AC355" t="s">
        <v>74</v>
      </c>
      <c r="AD355" t="s">
        <v>74</v>
      </c>
      <c r="AE355" t="s">
        <v>74</v>
      </c>
      <c r="AF355" t="s">
        <v>74</v>
      </c>
      <c r="AG355">
        <v>192</v>
      </c>
      <c r="AH355">
        <v>158</v>
      </c>
      <c r="AI355">
        <v>185</v>
      </c>
      <c r="AJ355">
        <v>1</v>
      </c>
      <c r="AK355">
        <v>15</v>
      </c>
      <c r="AL355" t="s">
        <v>902</v>
      </c>
      <c r="AM355" t="s">
        <v>903</v>
      </c>
      <c r="AN355" t="s">
        <v>904</v>
      </c>
      <c r="AO355" t="s">
        <v>5816</v>
      </c>
      <c r="AP355" t="s">
        <v>74</v>
      </c>
      <c r="AQ355" t="s">
        <v>5817</v>
      </c>
      <c r="AR355" t="s">
        <v>5818</v>
      </c>
      <c r="AS355" t="s">
        <v>5819</v>
      </c>
      <c r="AT355" t="s">
        <v>74</v>
      </c>
      <c r="AU355">
        <v>2007</v>
      </c>
      <c r="AV355">
        <v>74</v>
      </c>
      <c r="AW355" t="s">
        <v>74</v>
      </c>
      <c r="AX355" t="s">
        <v>74</v>
      </c>
      <c r="AY355" t="s">
        <v>74</v>
      </c>
      <c r="AZ355" t="s">
        <v>74</v>
      </c>
      <c r="BA355" t="s">
        <v>74</v>
      </c>
      <c r="BB355">
        <v>1</v>
      </c>
      <c r="BC355">
        <v>54</v>
      </c>
      <c r="BD355" t="s">
        <v>74</v>
      </c>
      <c r="BE355" t="s">
        <v>5820</v>
      </c>
      <c r="BF355" t="str">
        <f>HYPERLINK("http://dx.doi.org/10.1016/S0422-9894(06)74001-6","http://dx.doi.org/10.1016/S0422-9894(06)74001-6")</f>
        <v>http://dx.doi.org/10.1016/S0422-9894(06)74001-6</v>
      </c>
      <c r="BG355" t="s">
        <v>74</v>
      </c>
      <c r="BH355" t="s">
        <v>74</v>
      </c>
      <c r="BI355">
        <v>54</v>
      </c>
      <c r="BJ355" t="s">
        <v>1260</v>
      </c>
      <c r="BK355" t="s">
        <v>238</v>
      </c>
      <c r="BL355" t="s">
        <v>1260</v>
      </c>
      <c r="BM355" t="s">
        <v>5821</v>
      </c>
      <c r="BN355" t="s">
        <v>74</v>
      </c>
      <c r="BO355" t="s">
        <v>74</v>
      </c>
      <c r="BP355" t="s">
        <v>74</v>
      </c>
      <c r="BQ355" t="s">
        <v>74</v>
      </c>
      <c r="BR355" t="s">
        <v>100</v>
      </c>
      <c r="BS355" t="s">
        <v>5822</v>
      </c>
      <c r="BT355" t="str">
        <f>HYPERLINK("https%3A%2F%2Fwww.webofscience.com%2Fwos%2Fwoscc%2Ffull-record%2FWOS:000311283600003","View Full Record in Web of Science")</f>
        <v>View Full Record in Web of Science</v>
      </c>
    </row>
    <row r="356" spans="1:72" x14ac:dyDescent="0.15">
      <c r="A356" t="s">
        <v>888</v>
      </c>
      <c r="B356" t="s">
        <v>5823</v>
      </c>
      <c r="C356" t="s">
        <v>74</v>
      </c>
      <c r="D356" t="s">
        <v>5805</v>
      </c>
      <c r="E356" t="s">
        <v>74</v>
      </c>
      <c r="F356" t="s">
        <v>5824</v>
      </c>
      <c r="G356" t="s">
        <v>74</v>
      </c>
      <c r="H356" t="s">
        <v>74</v>
      </c>
      <c r="I356" t="s">
        <v>5825</v>
      </c>
      <c r="J356" t="s">
        <v>5808</v>
      </c>
      <c r="K356" t="s">
        <v>5809</v>
      </c>
      <c r="L356" t="s">
        <v>74</v>
      </c>
      <c r="M356" t="s">
        <v>78</v>
      </c>
      <c r="N356" t="s">
        <v>219</v>
      </c>
      <c r="O356" t="s">
        <v>74</v>
      </c>
      <c r="P356" t="s">
        <v>74</v>
      </c>
      <c r="Q356" t="s">
        <v>74</v>
      </c>
      <c r="R356" t="s">
        <v>74</v>
      </c>
      <c r="S356" t="s">
        <v>74</v>
      </c>
      <c r="T356" t="s">
        <v>74</v>
      </c>
      <c r="U356" t="s">
        <v>5826</v>
      </c>
      <c r="V356" t="s">
        <v>5827</v>
      </c>
      <c r="W356" t="s">
        <v>5828</v>
      </c>
      <c r="X356" t="s">
        <v>5829</v>
      </c>
      <c r="Y356" t="s">
        <v>5830</v>
      </c>
      <c r="Z356" t="s">
        <v>74</v>
      </c>
      <c r="AA356" t="s">
        <v>74</v>
      </c>
      <c r="AB356" t="s">
        <v>74</v>
      </c>
      <c r="AC356" t="s">
        <v>74</v>
      </c>
      <c r="AD356" t="s">
        <v>74</v>
      </c>
      <c r="AE356" t="s">
        <v>74</v>
      </c>
      <c r="AF356" t="s">
        <v>74</v>
      </c>
      <c r="AG356">
        <v>155</v>
      </c>
      <c r="AH356">
        <v>44</v>
      </c>
      <c r="AI356">
        <v>46</v>
      </c>
      <c r="AJ356">
        <v>3</v>
      </c>
      <c r="AK356">
        <v>12</v>
      </c>
      <c r="AL356" t="s">
        <v>902</v>
      </c>
      <c r="AM356" t="s">
        <v>903</v>
      </c>
      <c r="AN356" t="s">
        <v>904</v>
      </c>
      <c r="AO356" t="s">
        <v>5816</v>
      </c>
      <c r="AP356" t="s">
        <v>74</v>
      </c>
      <c r="AQ356" t="s">
        <v>5817</v>
      </c>
      <c r="AR356" t="s">
        <v>5818</v>
      </c>
      <c r="AS356" t="s">
        <v>5819</v>
      </c>
      <c r="AT356" t="s">
        <v>74</v>
      </c>
      <c r="AU356">
        <v>2007</v>
      </c>
      <c r="AV356">
        <v>74</v>
      </c>
      <c r="AW356" t="s">
        <v>74</v>
      </c>
      <c r="AX356" t="s">
        <v>74</v>
      </c>
      <c r="AY356" t="s">
        <v>74</v>
      </c>
      <c r="AZ356" t="s">
        <v>74</v>
      </c>
      <c r="BA356" t="s">
        <v>74</v>
      </c>
      <c r="BB356">
        <v>55</v>
      </c>
      <c r="BC356">
        <v>85</v>
      </c>
      <c r="BD356" t="s">
        <v>74</v>
      </c>
      <c r="BE356" t="s">
        <v>5831</v>
      </c>
      <c r="BF356" t="str">
        <f>HYPERLINK("http://dx.doi.org/10.1016/S0422-9894(06)74002-8","http://dx.doi.org/10.1016/S0422-9894(06)74002-8")</f>
        <v>http://dx.doi.org/10.1016/S0422-9894(06)74002-8</v>
      </c>
      <c r="BG356" t="s">
        <v>74</v>
      </c>
      <c r="BH356" t="s">
        <v>74</v>
      </c>
      <c r="BI356">
        <v>31</v>
      </c>
      <c r="BJ356" t="s">
        <v>1260</v>
      </c>
      <c r="BK356" t="s">
        <v>238</v>
      </c>
      <c r="BL356" t="s">
        <v>1260</v>
      </c>
      <c r="BM356" t="s">
        <v>5821</v>
      </c>
      <c r="BN356" t="s">
        <v>74</v>
      </c>
      <c r="BO356" t="s">
        <v>74</v>
      </c>
      <c r="BP356" t="s">
        <v>74</v>
      </c>
      <c r="BQ356" t="s">
        <v>74</v>
      </c>
      <c r="BR356" t="s">
        <v>100</v>
      </c>
      <c r="BS356" t="s">
        <v>5832</v>
      </c>
      <c r="BT356" t="str">
        <f>HYPERLINK("https%3A%2F%2Fwww.webofscience.com%2Fwos%2Fwoscc%2Ffull-record%2FWOS:000311283600004","View Full Record in Web of Science")</f>
        <v>View Full Record in Web of Science</v>
      </c>
    </row>
    <row r="357" spans="1:72" x14ac:dyDescent="0.15">
      <c r="A357" t="s">
        <v>888</v>
      </c>
      <c r="B357" t="s">
        <v>5833</v>
      </c>
      <c r="C357" t="s">
        <v>74</v>
      </c>
      <c r="D357" t="s">
        <v>5805</v>
      </c>
      <c r="E357" t="s">
        <v>74</v>
      </c>
      <c r="F357" t="s">
        <v>5834</v>
      </c>
      <c r="G357" t="s">
        <v>74</v>
      </c>
      <c r="H357" t="s">
        <v>74</v>
      </c>
      <c r="I357" t="s">
        <v>5835</v>
      </c>
      <c r="J357" t="s">
        <v>5808</v>
      </c>
      <c r="K357" t="s">
        <v>5809</v>
      </c>
      <c r="L357" t="s">
        <v>74</v>
      </c>
      <c r="M357" t="s">
        <v>78</v>
      </c>
      <c r="N357" t="s">
        <v>219</v>
      </c>
      <c r="O357" t="s">
        <v>74</v>
      </c>
      <c r="P357" t="s">
        <v>74</v>
      </c>
      <c r="Q357" t="s">
        <v>74</v>
      </c>
      <c r="R357" t="s">
        <v>74</v>
      </c>
      <c r="S357" t="s">
        <v>74</v>
      </c>
      <c r="T357" t="s">
        <v>74</v>
      </c>
      <c r="U357" t="s">
        <v>5836</v>
      </c>
      <c r="V357" t="s">
        <v>5837</v>
      </c>
      <c r="W357" t="s">
        <v>5838</v>
      </c>
      <c r="X357" t="s">
        <v>5839</v>
      </c>
      <c r="Y357" t="s">
        <v>5840</v>
      </c>
      <c r="Z357" t="s">
        <v>74</v>
      </c>
      <c r="AA357" t="s">
        <v>5841</v>
      </c>
      <c r="AB357" t="s">
        <v>5842</v>
      </c>
      <c r="AC357" t="s">
        <v>74</v>
      </c>
      <c r="AD357" t="s">
        <v>74</v>
      </c>
      <c r="AE357" t="s">
        <v>74</v>
      </c>
      <c r="AF357" t="s">
        <v>74</v>
      </c>
      <c r="AG357">
        <v>116</v>
      </c>
      <c r="AH357">
        <v>18</v>
      </c>
      <c r="AI357">
        <v>19</v>
      </c>
      <c r="AJ357">
        <v>0</v>
      </c>
      <c r="AK357">
        <v>2</v>
      </c>
      <c r="AL357" t="s">
        <v>902</v>
      </c>
      <c r="AM357" t="s">
        <v>903</v>
      </c>
      <c r="AN357" t="s">
        <v>904</v>
      </c>
      <c r="AO357" t="s">
        <v>5816</v>
      </c>
      <c r="AP357" t="s">
        <v>74</v>
      </c>
      <c r="AQ357" t="s">
        <v>5817</v>
      </c>
      <c r="AR357" t="s">
        <v>5818</v>
      </c>
      <c r="AS357" t="s">
        <v>5819</v>
      </c>
      <c r="AT357" t="s">
        <v>74</v>
      </c>
      <c r="AU357">
        <v>2007</v>
      </c>
      <c r="AV357">
        <v>74</v>
      </c>
      <c r="AW357" t="s">
        <v>74</v>
      </c>
      <c r="AX357" t="s">
        <v>74</v>
      </c>
      <c r="AY357" t="s">
        <v>74</v>
      </c>
      <c r="AZ357" t="s">
        <v>74</v>
      </c>
      <c r="BA357" t="s">
        <v>74</v>
      </c>
      <c r="BB357">
        <v>193</v>
      </c>
      <c r="BC357">
        <v>221</v>
      </c>
      <c r="BD357" t="s">
        <v>74</v>
      </c>
      <c r="BE357" t="s">
        <v>5843</v>
      </c>
      <c r="BF357" t="str">
        <f>HYPERLINK("http://dx.doi.org/10.1016/S0422-9894(06)74006-5","http://dx.doi.org/10.1016/S0422-9894(06)74006-5")</f>
        <v>http://dx.doi.org/10.1016/S0422-9894(06)74006-5</v>
      </c>
      <c r="BG357" t="s">
        <v>74</v>
      </c>
      <c r="BH357" t="s">
        <v>74</v>
      </c>
      <c r="BI357">
        <v>29</v>
      </c>
      <c r="BJ357" t="s">
        <v>1260</v>
      </c>
      <c r="BK357" t="s">
        <v>238</v>
      </c>
      <c r="BL357" t="s">
        <v>1260</v>
      </c>
      <c r="BM357" t="s">
        <v>5821</v>
      </c>
      <c r="BN357" t="s">
        <v>74</v>
      </c>
      <c r="BO357" t="s">
        <v>74</v>
      </c>
      <c r="BP357" t="s">
        <v>74</v>
      </c>
      <c r="BQ357" t="s">
        <v>74</v>
      </c>
      <c r="BR357" t="s">
        <v>100</v>
      </c>
      <c r="BS357" t="s">
        <v>5844</v>
      </c>
      <c r="BT357" t="str">
        <f>HYPERLINK("https%3A%2F%2Fwww.webofscience.com%2Fwos%2Fwoscc%2Ffull-record%2FWOS:000311283600008","View Full Record in Web of Science")</f>
        <v>View Full Record in Web of Science</v>
      </c>
    </row>
    <row r="358" spans="1:72" x14ac:dyDescent="0.15">
      <c r="A358" t="s">
        <v>888</v>
      </c>
      <c r="B358" t="s">
        <v>5845</v>
      </c>
      <c r="C358" t="s">
        <v>74</v>
      </c>
      <c r="D358" t="s">
        <v>5805</v>
      </c>
      <c r="E358" t="s">
        <v>74</v>
      </c>
      <c r="F358" t="s">
        <v>5846</v>
      </c>
      <c r="G358" t="s">
        <v>74</v>
      </c>
      <c r="H358" t="s">
        <v>74</v>
      </c>
      <c r="I358" t="s">
        <v>5847</v>
      </c>
      <c r="J358" t="s">
        <v>5808</v>
      </c>
      <c r="K358" t="s">
        <v>5809</v>
      </c>
      <c r="L358" t="s">
        <v>74</v>
      </c>
      <c r="M358" t="s">
        <v>78</v>
      </c>
      <c r="N358" t="s">
        <v>219</v>
      </c>
      <c r="O358" t="s">
        <v>74</v>
      </c>
      <c r="P358" t="s">
        <v>74</v>
      </c>
      <c r="Q358" t="s">
        <v>74</v>
      </c>
      <c r="R358" t="s">
        <v>74</v>
      </c>
      <c r="S358" t="s">
        <v>74</v>
      </c>
      <c r="T358" t="s">
        <v>74</v>
      </c>
      <c r="U358" t="s">
        <v>5848</v>
      </c>
      <c r="V358" t="s">
        <v>5849</v>
      </c>
      <c r="W358" t="s">
        <v>5850</v>
      </c>
      <c r="X358" t="s">
        <v>1393</v>
      </c>
      <c r="Y358" t="s">
        <v>5851</v>
      </c>
      <c r="Z358" t="s">
        <v>74</v>
      </c>
      <c r="AA358" t="s">
        <v>74</v>
      </c>
      <c r="AB358" t="s">
        <v>74</v>
      </c>
      <c r="AC358" t="s">
        <v>74</v>
      </c>
      <c r="AD358" t="s">
        <v>74</v>
      </c>
      <c r="AE358" t="s">
        <v>74</v>
      </c>
      <c r="AF358" t="s">
        <v>74</v>
      </c>
      <c r="AG358">
        <v>70</v>
      </c>
      <c r="AH358">
        <v>18</v>
      </c>
      <c r="AI358">
        <v>21</v>
      </c>
      <c r="AJ358">
        <v>0</v>
      </c>
      <c r="AK358">
        <v>7</v>
      </c>
      <c r="AL358" t="s">
        <v>902</v>
      </c>
      <c r="AM358" t="s">
        <v>903</v>
      </c>
      <c r="AN358" t="s">
        <v>904</v>
      </c>
      <c r="AO358" t="s">
        <v>5816</v>
      </c>
      <c r="AP358" t="s">
        <v>74</v>
      </c>
      <c r="AQ358" t="s">
        <v>5817</v>
      </c>
      <c r="AR358" t="s">
        <v>5818</v>
      </c>
      <c r="AS358" t="s">
        <v>5819</v>
      </c>
      <c r="AT358" t="s">
        <v>74</v>
      </c>
      <c r="AU358">
        <v>2007</v>
      </c>
      <c r="AV358">
        <v>74</v>
      </c>
      <c r="AW358" t="s">
        <v>74</v>
      </c>
      <c r="AX358" t="s">
        <v>74</v>
      </c>
      <c r="AY358" t="s">
        <v>74</v>
      </c>
      <c r="AZ358" t="s">
        <v>74</v>
      </c>
      <c r="BA358" t="s">
        <v>74</v>
      </c>
      <c r="BB358">
        <v>223</v>
      </c>
      <c r="BC358">
        <v>238</v>
      </c>
      <c r="BD358" t="s">
        <v>74</v>
      </c>
      <c r="BE358" t="s">
        <v>5852</v>
      </c>
      <c r="BF358" t="str">
        <f>HYPERLINK("http://dx.doi.org/10.1016/S0422-9894(06)74007-7","http://dx.doi.org/10.1016/S0422-9894(06)74007-7")</f>
        <v>http://dx.doi.org/10.1016/S0422-9894(06)74007-7</v>
      </c>
      <c r="BG358" t="s">
        <v>74</v>
      </c>
      <c r="BH358" t="s">
        <v>74</v>
      </c>
      <c r="BI358">
        <v>16</v>
      </c>
      <c r="BJ358" t="s">
        <v>1260</v>
      </c>
      <c r="BK358" t="s">
        <v>238</v>
      </c>
      <c r="BL358" t="s">
        <v>1260</v>
      </c>
      <c r="BM358" t="s">
        <v>5821</v>
      </c>
      <c r="BN358" t="s">
        <v>74</v>
      </c>
      <c r="BO358" t="s">
        <v>74</v>
      </c>
      <c r="BP358" t="s">
        <v>74</v>
      </c>
      <c r="BQ358" t="s">
        <v>74</v>
      </c>
      <c r="BR358" t="s">
        <v>100</v>
      </c>
      <c r="BS358" t="s">
        <v>5853</v>
      </c>
      <c r="BT358" t="str">
        <f>HYPERLINK("https%3A%2F%2Fwww.webofscience.com%2Fwos%2Fwoscc%2Ffull-record%2FWOS:000311283600009","View Full Record in Web of Science")</f>
        <v>View Full Record in Web of Science</v>
      </c>
    </row>
    <row r="359" spans="1:72" x14ac:dyDescent="0.15">
      <c r="A359" t="s">
        <v>888</v>
      </c>
      <c r="B359" t="s">
        <v>5854</v>
      </c>
      <c r="C359" t="s">
        <v>74</v>
      </c>
      <c r="D359" t="s">
        <v>5805</v>
      </c>
      <c r="E359" t="s">
        <v>74</v>
      </c>
      <c r="F359" t="s">
        <v>5855</v>
      </c>
      <c r="G359" t="s">
        <v>74</v>
      </c>
      <c r="H359" t="s">
        <v>74</v>
      </c>
      <c r="I359" t="s">
        <v>5856</v>
      </c>
      <c r="J359" t="s">
        <v>5808</v>
      </c>
      <c r="K359" t="s">
        <v>5809</v>
      </c>
      <c r="L359" t="s">
        <v>74</v>
      </c>
      <c r="M359" t="s">
        <v>78</v>
      </c>
      <c r="N359" t="s">
        <v>219</v>
      </c>
      <c r="O359" t="s">
        <v>74</v>
      </c>
      <c r="P359" t="s">
        <v>74</v>
      </c>
      <c r="Q359" t="s">
        <v>74</v>
      </c>
      <c r="R359" t="s">
        <v>74</v>
      </c>
      <c r="S359" t="s">
        <v>74</v>
      </c>
      <c r="T359" t="s">
        <v>74</v>
      </c>
      <c r="U359" t="s">
        <v>5857</v>
      </c>
      <c r="V359" t="s">
        <v>5858</v>
      </c>
      <c r="W359" t="s">
        <v>5859</v>
      </c>
      <c r="X359" t="s">
        <v>5860</v>
      </c>
      <c r="Y359" t="s">
        <v>5861</v>
      </c>
      <c r="Z359" t="s">
        <v>74</v>
      </c>
      <c r="AA359" t="s">
        <v>74</v>
      </c>
      <c r="AB359" t="s">
        <v>74</v>
      </c>
      <c r="AC359" t="s">
        <v>74</v>
      </c>
      <c r="AD359" t="s">
        <v>74</v>
      </c>
      <c r="AE359" t="s">
        <v>74</v>
      </c>
      <c r="AF359" t="s">
        <v>74</v>
      </c>
      <c r="AG359">
        <v>115</v>
      </c>
      <c r="AH359">
        <v>61</v>
      </c>
      <c r="AI359">
        <v>73</v>
      </c>
      <c r="AJ359">
        <v>1</v>
      </c>
      <c r="AK359">
        <v>8</v>
      </c>
      <c r="AL359" t="s">
        <v>902</v>
      </c>
      <c r="AM359" t="s">
        <v>903</v>
      </c>
      <c r="AN359" t="s">
        <v>904</v>
      </c>
      <c r="AO359" t="s">
        <v>5816</v>
      </c>
      <c r="AP359" t="s">
        <v>74</v>
      </c>
      <c r="AQ359" t="s">
        <v>5817</v>
      </c>
      <c r="AR359" t="s">
        <v>5818</v>
      </c>
      <c r="AS359" t="s">
        <v>5819</v>
      </c>
      <c r="AT359" t="s">
        <v>74</v>
      </c>
      <c r="AU359">
        <v>2007</v>
      </c>
      <c r="AV359">
        <v>74</v>
      </c>
      <c r="AW359" t="s">
        <v>74</v>
      </c>
      <c r="AX359" t="s">
        <v>74</v>
      </c>
      <c r="AY359" t="s">
        <v>74</v>
      </c>
      <c r="AZ359" t="s">
        <v>74</v>
      </c>
      <c r="BA359" t="s">
        <v>74</v>
      </c>
      <c r="BB359">
        <v>239</v>
      </c>
      <c r="BC359">
        <v>269</v>
      </c>
      <c r="BD359" t="s">
        <v>74</v>
      </c>
      <c r="BE359" t="s">
        <v>5862</v>
      </c>
      <c r="BF359" t="str">
        <f>HYPERLINK("http://dx.doi.org/10.1016/S0422-9894(06)74008-9","http://dx.doi.org/10.1016/S0422-9894(06)74008-9")</f>
        <v>http://dx.doi.org/10.1016/S0422-9894(06)74008-9</v>
      </c>
      <c r="BG359" t="s">
        <v>74</v>
      </c>
      <c r="BH359" t="s">
        <v>74</v>
      </c>
      <c r="BI359">
        <v>31</v>
      </c>
      <c r="BJ359" t="s">
        <v>1260</v>
      </c>
      <c r="BK359" t="s">
        <v>238</v>
      </c>
      <c r="BL359" t="s">
        <v>1260</v>
      </c>
      <c r="BM359" t="s">
        <v>5821</v>
      </c>
      <c r="BN359" t="s">
        <v>74</v>
      </c>
      <c r="BO359" t="s">
        <v>74</v>
      </c>
      <c r="BP359" t="s">
        <v>74</v>
      </c>
      <c r="BQ359" t="s">
        <v>74</v>
      </c>
      <c r="BR359" t="s">
        <v>100</v>
      </c>
      <c r="BS359" t="s">
        <v>5863</v>
      </c>
      <c r="BT359" t="str">
        <f>HYPERLINK("https%3A%2F%2Fwww.webofscience.com%2Fwos%2Fwoscc%2Ffull-record%2FWOS:000311283600010","View Full Record in Web of Science")</f>
        <v>View Full Record in Web of Science</v>
      </c>
    </row>
    <row r="360" spans="1:72" x14ac:dyDescent="0.15">
      <c r="A360" t="s">
        <v>888</v>
      </c>
      <c r="B360" t="s">
        <v>5864</v>
      </c>
      <c r="C360" t="s">
        <v>74</v>
      </c>
      <c r="D360" t="s">
        <v>5805</v>
      </c>
      <c r="E360" t="s">
        <v>74</v>
      </c>
      <c r="F360" t="s">
        <v>5865</v>
      </c>
      <c r="G360" t="s">
        <v>74</v>
      </c>
      <c r="H360" t="s">
        <v>74</v>
      </c>
      <c r="I360" t="s">
        <v>5866</v>
      </c>
      <c r="J360" t="s">
        <v>5808</v>
      </c>
      <c r="K360" t="s">
        <v>5809</v>
      </c>
      <c r="L360" t="s">
        <v>74</v>
      </c>
      <c r="M360" t="s">
        <v>78</v>
      </c>
      <c r="N360" t="s">
        <v>219</v>
      </c>
      <c r="O360" t="s">
        <v>74</v>
      </c>
      <c r="P360" t="s">
        <v>74</v>
      </c>
      <c r="Q360" t="s">
        <v>74</v>
      </c>
      <c r="R360" t="s">
        <v>74</v>
      </c>
      <c r="S360" t="s">
        <v>74</v>
      </c>
      <c r="T360" t="s">
        <v>74</v>
      </c>
      <c r="U360" t="s">
        <v>5867</v>
      </c>
      <c r="V360" t="s">
        <v>5868</v>
      </c>
      <c r="W360" t="s">
        <v>5869</v>
      </c>
      <c r="X360" t="s">
        <v>5870</v>
      </c>
      <c r="Y360" t="s">
        <v>5871</v>
      </c>
      <c r="Z360" t="s">
        <v>74</v>
      </c>
      <c r="AA360" t="s">
        <v>74</v>
      </c>
      <c r="AB360" t="s">
        <v>74</v>
      </c>
      <c r="AC360" t="s">
        <v>74</v>
      </c>
      <c r="AD360" t="s">
        <v>74</v>
      </c>
      <c r="AE360" t="s">
        <v>74</v>
      </c>
      <c r="AF360" t="s">
        <v>74</v>
      </c>
      <c r="AG360">
        <v>192</v>
      </c>
      <c r="AH360">
        <v>40</v>
      </c>
      <c r="AI360">
        <v>47</v>
      </c>
      <c r="AJ360">
        <v>0</v>
      </c>
      <c r="AK360">
        <v>7</v>
      </c>
      <c r="AL360" t="s">
        <v>902</v>
      </c>
      <c r="AM360" t="s">
        <v>903</v>
      </c>
      <c r="AN360" t="s">
        <v>904</v>
      </c>
      <c r="AO360" t="s">
        <v>5816</v>
      </c>
      <c r="AP360" t="s">
        <v>74</v>
      </c>
      <c r="AQ360" t="s">
        <v>5817</v>
      </c>
      <c r="AR360" t="s">
        <v>5818</v>
      </c>
      <c r="AS360" t="s">
        <v>5819</v>
      </c>
      <c r="AT360" t="s">
        <v>74</v>
      </c>
      <c r="AU360">
        <v>2007</v>
      </c>
      <c r="AV360">
        <v>74</v>
      </c>
      <c r="AW360" t="s">
        <v>74</v>
      </c>
      <c r="AX360" t="s">
        <v>74</v>
      </c>
      <c r="AY360" t="s">
        <v>74</v>
      </c>
      <c r="AZ360" t="s">
        <v>74</v>
      </c>
      <c r="BA360" t="s">
        <v>74</v>
      </c>
      <c r="BB360">
        <v>271</v>
      </c>
      <c r="BC360">
        <v>322</v>
      </c>
      <c r="BD360" t="s">
        <v>74</v>
      </c>
      <c r="BE360" t="s">
        <v>5872</v>
      </c>
      <c r="BF360" t="str">
        <f>HYPERLINK("http://dx.doi.org/10.1016/S0422-9894(06)74009-0","http://dx.doi.org/10.1016/S0422-9894(06)74009-0")</f>
        <v>http://dx.doi.org/10.1016/S0422-9894(06)74009-0</v>
      </c>
      <c r="BG360" t="s">
        <v>74</v>
      </c>
      <c r="BH360" t="s">
        <v>74</v>
      </c>
      <c r="BI360">
        <v>52</v>
      </c>
      <c r="BJ360" t="s">
        <v>1260</v>
      </c>
      <c r="BK360" t="s">
        <v>238</v>
      </c>
      <c r="BL360" t="s">
        <v>1260</v>
      </c>
      <c r="BM360" t="s">
        <v>5821</v>
      </c>
      <c r="BN360" t="s">
        <v>74</v>
      </c>
      <c r="BO360" t="s">
        <v>74</v>
      </c>
      <c r="BP360" t="s">
        <v>74</v>
      </c>
      <c r="BQ360" t="s">
        <v>74</v>
      </c>
      <c r="BR360" t="s">
        <v>100</v>
      </c>
      <c r="BS360" t="s">
        <v>5873</v>
      </c>
      <c r="BT360" t="str">
        <f>HYPERLINK("https%3A%2F%2Fwww.webofscience.com%2Fwos%2Fwoscc%2Ffull-record%2FWOS:000311283600011","View Full Record in Web of Science")</f>
        <v>View Full Record in Web of Science</v>
      </c>
    </row>
    <row r="361" spans="1:72" x14ac:dyDescent="0.15">
      <c r="A361" t="s">
        <v>888</v>
      </c>
      <c r="B361" t="s">
        <v>5874</v>
      </c>
      <c r="C361" t="s">
        <v>74</v>
      </c>
      <c r="D361" t="s">
        <v>5805</v>
      </c>
      <c r="E361" t="s">
        <v>74</v>
      </c>
      <c r="F361" t="s">
        <v>5875</v>
      </c>
      <c r="G361" t="s">
        <v>74</v>
      </c>
      <c r="H361" t="s">
        <v>74</v>
      </c>
      <c r="I361" t="s">
        <v>5876</v>
      </c>
      <c r="J361" t="s">
        <v>5808</v>
      </c>
      <c r="K361" t="s">
        <v>5809</v>
      </c>
      <c r="L361" t="s">
        <v>74</v>
      </c>
      <c r="M361" t="s">
        <v>78</v>
      </c>
      <c r="N361" t="s">
        <v>219</v>
      </c>
      <c r="O361" t="s">
        <v>74</v>
      </c>
      <c r="P361" t="s">
        <v>74</v>
      </c>
      <c r="Q361" t="s">
        <v>74</v>
      </c>
      <c r="R361" t="s">
        <v>74</v>
      </c>
      <c r="S361" t="s">
        <v>74</v>
      </c>
      <c r="T361" t="s">
        <v>74</v>
      </c>
      <c r="U361" t="s">
        <v>5877</v>
      </c>
      <c r="V361" t="s">
        <v>5878</v>
      </c>
      <c r="W361" t="s">
        <v>5879</v>
      </c>
      <c r="X361" t="s">
        <v>5880</v>
      </c>
      <c r="Y361" t="s">
        <v>5881</v>
      </c>
      <c r="Z361" t="s">
        <v>74</v>
      </c>
      <c r="AA361" t="s">
        <v>5882</v>
      </c>
      <c r="AB361" t="s">
        <v>5883</v>
      </c>
      <c r="AC361" t="s">
        <v>74</v>
      </c>
      <c r="AD361" t="s">
        <v>74</v>
      </c>
      <c r="AE361" t="s">
        <v>74</v>
      </c>
      <c r="AF361" t="s">
        <v>74</v>
      </c>
      <c r="AG361">
        <v>190</v>
      </c>
      <c r="AH361">
        <v>12</v>
      </c>
      <c r="AI361">
        <v>14</v>
      </c>
      <c r="AJ361">
        <v>0</v>
      </c>
      <c r="AK361">
        <v>4</v>
      </c>
      <c r="AL361" t="s">
        <v>902</v>
      </c>
      <c r="AM361" t="s">
        <v>903</v>
      </c>
      <c r="AN361" t="s">
        <v>904</v>
      </c>
      <c r="AO361" t="s">
        <v>5816</v>
      </c>
      <c r="AP361" t="s">
        <v>74</v>
      </c>
      <c r="AQ361" t="s">
        <v>5817</v>
      </c>
      <c r="AR361" t="s">
        <v>5818</v>
      </c>
      <c r="AS361" t="s">
        <v>5819</v>
      </c>
      <c r="AT361" t="s">
        <v>74</v>
      </c>
      <c r="AU361">
        <v>2007</v>
      </c>
      <c r="AV361">
        <v>74</v>
      </c>
      <c r="AW361" t="s">
        <v>74</v>
      </c>
      <c r="AX361" t="s">
        <v>74</v>
      </c>
      <c r="AY361" t="s">
        <v>74</v>
      </c>
      <c r="AZ361" t="s">
        <v>74</v>
      </c>
      <c r="BA361" t="s">
        <v>74</v>
      </c>
      <c r="BB361">
        <v>323</v>
      </c>
      <c r="BC361">
        <v>361</v>
      </c>
      <c r="BD361" t="s">
        <v>74</v>
      </c>
      <c r="BE361" t="s">
        <v>5884</v>
      </c>
      <c r="BF361" t="str">
        <f>HYPERLINK("http://dx.doi.org/10.1016/S0422-9894(06)74010-7","http://dx.doi.org/10.1016/S0422-9894(06)74010-7")</f>
        <v>http://dx.doi.org/10.1016/S0422-9894(06)74010-7</v>
      </c>
      <c r="BG361" t="s">
        <v>74</v>
      </c>
      <c r="BH361" t="s">
        <v>74</v>
      </c>
      <c r="BI361">
        <v>39</v>
      </c>
      <c r="BJ361" t="s">
        <v>1260</v>
      </c>
      <c r="BK361" t="s">
        <v>238</v>
      </c>
      <c r="BL361" t="s">
        <v>1260</v>
      </c>
      <c r="BM361" t="s">
        <v>5821</v>
      </c>
      <c r="BN361" t="s">
        <v>74</v>
      </c>
      <c r="BO361" t="s">
        <v>74</v>
      </c>
      <c r="BP361" t="s">
        <v>74</v>
      </c>
      <c r="BQ361" t="s">
        <v>74</v>
      </c>
      <c r="BR361" t="s">
        <v>100</v>
      </c>
      <c r="BS361" t="s">
        <v>5885</v>
      </c>
      <c r="BT361" t="str">
        <f>HYPERLINK("https%3A%2F%2Fwww.webofscience.com%2Fwos%2Fwoscc%2Ffull-record%2FWOS:000311283600012","View Full Record in Web of Science")</f>
        <v>View Full Record in Web of Science</v>
      </c>
    </row>
    <row r="362" spans="1:72" x14ac:dyDescent="0.15">
      <c r="A362" t="s">
        <v>888</v>
      </c>
      <c r="B362" t="s">
        <v>5886</v>
      </c>
      <c r="C362" t="s">
        <v>74</v>
      </c>
      <c r="D362" t="s">
        <v>5805</v>
      </c>
      <c r="E362" t="s">
        <v>74</v>
      </c>
      <c r="F362" t="s">
        <v>5887</v>
      </c>
      <c r="G362" t="s">
        <v>74</v>
      </c>
      <c r="H362" t="s">
        <v>74</v>
      </c>
      <c r="I362" t="s">
        <v>5888</v>
      </c>
      <c r="J362" t="s">
        <v>5808</v>
      </c>
      <c r="K362" t="s">
        <v>5809</v>
      </c>
      <c r="L362" t="s">
        <v>74</v>
      </c>
      <c r="M362" t="s">
        <v>78</v>
      </c>
      <c r="N362" t="s">
        <v>219</v>
      </c>
      <c r="O362" t="s">
        <v>74</v>
      </c>
      <c r="P362" t="s">
        <v>74</v>
      </c>
      <c r="Q362" t="s">
        <v>74</v>
      </c>
      <c r="R362" t="s">
        <v>74</v>
      </c>
      <c r="S362" t="s">
        <v>74</v>
      </c>
      <c r="T362" t="s">
        <v>74</v>
      </c>
      <c r="U362" t="s">
        <v>5889</v>
      </c>
      <c r="V362" t="s">
        <v>5890</v>
      </c>
      <c r="W362" t="s">
        <v>5891</v>
      </c>
      <c r="X362" t="s">
        <v>5892</v>
      </c>
      <c r="Y362" t="s">
        <v>5893</v>
      </c>
      <c r="Z362" t="s">
        <v>74</v>
      </c>
      <c r="AA362" t="s">
        <v>5894</v>
      </c>
      <c r="AB362" t="s">
        <v>5895</v>
      </c>
      <c r="AC362" t="s">
        <v>74</v>
      </c>
      <c r="AD362" t="s">
        <v>74</v>
      </c>
      <c r="AE362" t="s">
        <v>74</v>
      </c>
      <c r="AF362" t="s">
        <v>74</v>
      </c>
      <c r="AG362">
        <v>93</v>
      </c>
      <c r="AH362">
        <v>42</v>
      </c>
      <c r="AI362">
        <v>48</v>
      </c>
      <c r="AJ362">
        <v>0</v>
      </c>
      <c r="AK362">
        <v>7</v>
      </c>
      <c r="AL362" t="s">
        <v>902</v>
      </c>
      <c r="AM362" t="s">
        <v>903</v>
      </c>
      <c r="AN362" t="s">
        <v>904</v>
      </c>
      <c r="AO362" t="s">
        <v>5816</v>
      </c>
      <c r="AP362" t="s">
        <v>74</v>
      </c>
      <c r="AQ362" t="s">
        <v>5817</v>
      </c>
      <c r="AR362" t="s">
        <v>5818</v>
      </c>
      <c r="AS362" t="s">
        <v>5819</v>
      </c>
      <c r="AT362" t="s">
        <v>74</v>
      </c>
      <c r="AU362">
        <v>2007</v>
      </c>
      <c r="AV362">
        <v>74</v>
      </c>
      <c r="AW362" t="s">
        <v>74</v>
      </c>
      <c r="AX362" t="s">
        <v>74</v>
      </c>
      <c r="AY362" t="s">
        <v>74</v>
      </c>
      <c r="AZ362" t="s">
        <v>74</v>
      </c>
      <c r="BA362" t="s">
        <v>74</v>
      </c>
      <c r="BB362">
        <v>363</v>
      </c>
      <c r="BC362">
        <v>390</v>
      </c>
      <c r="BD362" t="s">
        <v>74</v>
      </c>
      <c r="BE362" t="s">
        <v>5896</v>
      </c>
      <c r="BF362" t="str">
        <f>HYPERLINK("http://dx.doi.org/10.1016/S0422-9894(06)74011-9","http://dx.doi.org/10.1016/S0422-9894(06)74011-9")</f>
        <v>http://dx.doi.org/10.1016/S0422-9894(06)74011-9</v>
      </c>
      <c r="BG362" t="s">
        <v>74</v>
      </c>
      <c r="BH362" t="s">
        <v>74</v>
      </c>
      <c r="BI362">
        <v>28</v>
      </c>
      <c r="BJ362" t="s">
        <v>1260</v>
      </c>
      <c r="BK362" t="s">
        <v>238</v>
      </c>
      <c r="BL362" t="s">
        <v>1260</v>
      </c>
      <c r="BM362" t="s">
        <v>5821</v>
      </c>
      <c r="BN362" t="s">
        <v>74</v>
      </c>
      <c r="BO362" t="s">
        <v>74</v>
      </c>
      <c r="BP362" t="s">
        <v>74</v>
      </c>
      <c r="BQ362" t="s">
        <v>74</v>
      </c>
      <c r="BR362" t="s">
        <v>100</v>
      </c>
      <c r="BS362" t="s">
        <v>5897</v>
      </c>
      <c r="BT362" t="str">
        <f>HYPERLINK("https%3A%2F%2Fwww.webofscience.com%2Fwos%2Fwoscc%2Ffull-record%2FWOS:000311283600013","View Full Record in Web of Science")</f>
        <v>View Full Record in Web of Science</v>
      </c>
    </row>
    <row r="363" spans="1:72" x14ac:dyDescent="0.15">
      <c r="A363" t="s">
        <v>888</v>
      </c>
      <c r="B363" t="s">
        <v>5898</v>
      </c>
      <c r="C363" t="s">
        <v>74</v>
      </c>
      <c r="D363" t="s">
        <v>5805</v>
      </c>
      <c r="E363" t="s">
        <v>74</v>
      </c>
      <c r="F363" t="s">
        <v>5899</v>
      </c>
      <c r="G363" t="s">
        <v>74</v>
      </c>
      <c r="H363" t="s">
        <v>74</v>
      </c>
      <c r="I363" t="s">
        <v>5900</v>
      </c>
      <c r="J363" t="s">
        <v>5808</v>
      </c>
      <c r="K363" t="s">
        <v>5809</v>
      </c>
      <c r="L363" t="s">
        <v>74</v>
      </c>
      <c r="M363" t="s">
        <v>78</v>
      </c>
      <c r="N363" t="s">
        <v>219</v>
      </c>
      <c r="O363" t="s">
        <v>74</v>
      </c>
      <c r="P363" t="s">
        <v>74</v>
      </c>
      <c r="Q363" t="s">
        <v>74</v>
      </c>
      <c r="R363" t="s">
        <v>74</v>
      </c>
      <c r="S363" t="s">
        <v>74</v>
      </c>
      <c r="T363" t="s">
        <v>74</v>
      </c>
      <c r="U363" t="s">
        <v>5901</v>
      </c>
      <c r="V363" t="s">
        <v>5902</v>
      </c>
      <c r="W363" t="s">
        <v>5903</v>
      </c>
      <c r="X363" t="s">
        <v>5904</v>
      </c>
      <c r="Y363" t="s">
        <v>5905</v>
      </c>
      <c r="Z363" t="s">
        <v>74</v>
      </c>
      <c r="AA363" t="s">
        <v>74</v>
      </c>
      <c r="AB363" t="s">
        <v>74</v>
      </c>
      <c r="AC363" t="s">
        <v>74</v>
      </c>
      <c r="AD363" t="s">
        <v>74</v>
      </c>
      <c r="AE363" t="s">
        <v>74</v>
      </c>
      <c r="AF363" t="s">
        <v>74</v>
      </c>
      <c r="AG363">
        <v>124</v>
      </c>
      <c r="AH363">
        <v>40</v>
      </c>
      <c r="AI363">
        <v>45</v>
      </c>
      <c r="AJ363">
        <v>0</v>
      </c>
      <c r="AK363">
        <v>10</v>
      </c>
      <c r="AL363" t="s">
        <v>902</v>
      </c>
      <c r="AM363" t="s">
        <v>903</v>
      </c>
      <c r="AN363" t="s">
        <v>904</v>
      </c>
      <c r="AO363" t="s">
        <v>5816</v>
      </c>
      <c r="AP363" t="s">
        <v>74</v>
      </c>
      <c r="AQ363" t="s">
        <v>5817</v>
      </c>
      <c r="AR363" t="s">
        <v>5818</v>
      </c>
      <c r="AS363" t="s">
        <v>5819</v>
      </c>
      <c r="AT363" t="s">
        <v>74</v>
      </c>
      <c r="AU363">
        <v>2007</v>
      </c>
      <c r="AV363">
        <v>74</v>
      </c>
      <c r="AW363" t="s">
        <v>74</v>
      </c>
      <c r="AX363" t="s">
        <v>74</v>
      </c>
      <c r="AY363" t="s">
        <v>74</v>
      </c>
      <c r="AZ363" t="s">
        <v>74</v>
      </c>
      <c r="BA363" t="s">
        <v>74</v>
      </c>
      <c r="BB363">
        <v>391</v>
      </c>
      <c r="BC363">
        <v>410</v>
      </c>
      <c r="BD363" t="s">
        <v>74</v>
      </c>
      <c r="BE363" t="s">
        <v>5906</v>
      </c>
      <c r="BF363" t="str">
        <f>HYPERLINK("http://dx.doi.org/10.1016/S0422-9894(06)74012-0","http://dx.doi.org/10.1016/S0422-9894(06)74012-0")</f>
        <v>http://dx.doi.org/10.1016/S0422-9894(06)74012-0</v>
      </c>
      <c r="BG363" t="s">
        <v>74</v>
      </c>
      <c r="BH363" t="s">
        <v>74</v>
      </c>
      <c r="BI363">
        <v>20</v>
      </c>
      <c r="BJ363" t="s">
        <v>1260</v>
      </c>
      <c r="BK363" t="s">
        <v>238</v>
      </c>
      <c r="BL363" t="s">
        <v>1260</v>
      </c>
      <c r="BM363" t="s">
        <v>5821</v>
      </c>
      <c r="BN363" t="s">
        <v>74</v>
      </c>
      <c r="BO363" t="s">
        <v>74</v>
      </c>
      <c r="BP363" t="s">
        <v>74</v>
      </c>
      <c r="BQ363" t="s">
        <v>74</v>
      </c>
      <c r="BR363" t="s">
        <v>100</v>
      </c>
      <c r="BS363" t="s">
        <v>5907</v>
      </c>
      <c r="BT363" t="str">
        <f>HYPERLINK("https%3A%2F%2Fwww.webofscience.com%2Fwos%2Fwoscc%2Ffull-record%2FWOS:000311283600014","View Full Record in Web of Science")</f>
        <v>View Full Record in Web of Science</v>
      </c>
    </row>
    <row r="364" spans="1:72" x14ac:dyDescent="0.15">
      <c r="A364" t="s">
        <v>888</v>
      </c>
      <c r="B364" t="s">
        <v>5805</v>
      </c>
      <c r="C364" t="s">
        <v>74</v>
      </c>
      <c r="D364" t="s">
        <v>5805</v>
      </c>
      <c r="E364" t="s">
        <v>74</v>
      </c>
      <c r="F364" t="s">
        <v>5908</v>
      </c>
      <c r="G364" t="s">
        <v>74</v>
      </c>
      <c r="H364" t="s">
        <v>74</v>
      </c>
      <c r="I364" t="s">
        <v>5909</v>
      </c>
      <c r="J364" t="s">
        <v>5808</v>
      </c>
      <c r="K364" t="s">
        <v>5809</v>
      </c>
      <c r="L364" t="s">
        <v>74</v>
      </c>
      <c r="M364" t="s">
        <v>78</v>
      </c>
      <c r="N364" t="s">
        <v>219</v>
      </c>
      <c r="O364" t="s">
        <v>74</v>
      </c>
      <c r="P364" t="s">
        <v>74</v>
      </c>
      <c r="Q364" t="s">
        <v>74</v>
      </c>
      <c r="R364" t="s">
        <v>74</v>
      </c>
      <c r="S364" t="s">
        <v>74</v>
      </c>
      <c r="T364" t="s">
        <v>74</v>
      </c>
      <c r="U364" t="s">
        <v>5910</v>
      </c>
      <c r="V364" t="s">
        <v>5911</v>
      </c>
      <c r="W364" t="s">
        <v>5912</v>
      </c>
      <c r="X364" t="s">
        <v>5913</v>
      </c>
      <c r="Y364" t="s">
        <v>5914</v>
      </c>
      <c r="Z364" t="s">
        <v>74</v>
      </c>
      <c r="AA364" t="s">
        <v>74</v>
      </c>
      <c r="AB364" t="s">
        <v>5915</v>
      </c>
      <c r="AC364" t="s">
        <v>74</v>
      </c>
      <c r="AD364" t="s">
        <v>74</v>
      </c>
      <c r="AE364" t="s">
        <v>74</v>
      </c>
      <c r="AF364" t="s">
        <v>74</v>
      </c>
      <c r="AG364">
        <v>36</v>
      </c>
      <c r="AH364">
        <v>13</v>
      </c>
      <c r="AI364">
        <v>15</v>
      </c>
      <c r="AJ364">
        <v>0</v>
      </c>
      <c r="AK364">
        <v>5</v>
      </c>
      <c r="AL364" t="s">
        <v>902</v>
      </c>
      <c r="AM364" t="s">
        <v>903</v>
      </c>
      <c r="AN364" t="s">
        <v>904</v>
      </c>
      <c r="AO364" t="s">
        <v>5816</v>
      </c>
      <c r="AP364" t="s">
        <v>74</v>
      </c>
      <c r="AQ364" t="s">
        <v>5817</v>
      </c>
      <c r="AR364" t="s">
        <v>5818</v>
      </c>
      <c r="AS364" t="s">
        <v>5819</v>
      </c>
      <c r="AT364" t="s">
        <v>74</v>
      </c>
      <c r="AU364">
        <v>2007</v>
      </c>
      <c r="AV364">
        <v>74</v>
      </c>
      <c r="AW364" t="s">
        <v>74</v>
      </c>
      <c r="AX364" t="s">
        <v>74</v>
      </c>
      <c r="AY364" t="s">
        <v>74</v>
      </c>
      <c r="AZ364" t="s">
        <v>74</v>
      </c>
      <c r="BA364" t="s">
        <v>74</v>
      </c>
      <c r="BB364">
        <v>411</v>
      </c>
      <c r="BC364">
        <v>419</v>
      </c>
      <c r="BD364" t="s">
        <v>74</v>
      </c>
      <c r="BE364" t="s">
        <v>5916</v>
      </c>
      <c r="BF364" t="str">
        <f>HYPERLINK("http://dx.doi.org/10.1016/S0422-9894(06)74013-2","http://dx.doi.org/10.1016/S0422-9894(06)74013-2")</f>
        <v>http://dx.doi.org/10.1016/S0422-9894(06)74013-2</v>
      </c>
      <c r="BG364" t="s">
        <v>74</v>
      </c>
      <c r="BH364" t="s">
        <v>74</v>
      </c>
      <c r="BI364">
        <v>9</v>
      </c>
      <c r="BJ364" t="s">
        <v>1260</v>
      </c>
      <c r="BK364" t="s">
        <v>238</v>
      </c>
      <c r="BL364" t="s">
        <v>1260</v>
      </c>
      <c r="BM364" t="s">
        <v>5821</v>
      </c>
      <c r="BN364" t="s">
        <v>74</v>
      </c>
      <c r="BO364" t="s">
        <v>74</v>
      </c>
      <c r="BP364" t="s">
        <v>74</v>
      </c>
      <c r="BQ364" t="s">
        <v>74</v>
      </c>
      <c r="BR364" t="s">
        <v>100</v>
      </c>
      <c r="BS364" t="s">
        <v>5917</v>
      </c>
      <c r="BT364" t="str">
        <f>HYPERLINK("https%3A%2F%2Fwww.webofscience.com%2Fwos%2Fwoscc%2Ffull-record%2FWOS:000311283600015","View Full Record in Web of Science")</f>
        <v>View Full Record in Web of Science</v>
      </c>
    </row>
    <row r="365" spans="1:72" x14ac:dyDescent="0.15">
      <c r="A365" t="s">
        <v>72</v>
      </c>
      <c r="B365" t="s">
        <v>5918</v>
      </c>
      <c r="C365" t="s">
        <v>74</v>
      </c>
      <c r="D365" t="s">
        <v>74</v>
      </c>
      <c r="E365" t="s">
        <v>74</v>
      </c>
      <c r="F365" t="s">
        <v>5919</v>
      </c>
      <c r="G365" t="s">
        <v>74</v>
      </c>
      <c r="H365" t="s">
        <v>74</v>
      </c>
      <c r="I365" t="s">
        <v>5920</v>
      </c>
      <c r="J365" t="s">
        <v>5921</v>
      </c>
      <c r="K365" t="s">
        <v>74</v>
      </c>
      <c r="L365" t="s">
        <v>74</v>
      </c>
      <c r="M365" t="s">
        <v>78</v>
      </c>
      <c r="N365" t="s">
        <v>79</v>
      </c>
      <c r="O365" t="s">
        <v>74</v>
      </c>
      <c r="P365" t="s">
        <v>74</v>
      </c>
      <c r="Q365" t="s">
        <v>74</v>
      </c>
      <c r="R365" t="s">
        <v>74</v>
      </c>
      <c r="S365" t="s">
        <v>74</v>
      </c>
      <c r="T365" t="s">
        <v>5922</v>
      </c>
      <c r="U365" t="s">
        <v>5923</v>
      </c>
      <c r="V365" t="s">
        <v>5924</v>
      </c>
      <c r="W365" t="s">
        <v>5925</v>
      </c>
      <c r="X365" t="s">
        <v>5926</v>
      </c>
      <c r="Y365" t="s">
        <v>5927</v>
      </c>
      <c r="Z365" t="s">
        <v>5928</v>
      </c>
      <c r="AA365" t="s">
        <v>74</v>
      </c>
      <c r="AB365" t="s">
        <v>74</v>
      </c>
      <c r="AC365" t="s">
        <v>74</v>
      </c>
      <c r="AD365" t="s">
        <v>74</v>
      </c>
      <c r="AE365" t="s">
        <v>74</v>
      </c>
      <c r="AF365" t="s">
        <v>74</v>
      </c>
      <c r="AG365">
        <v>8</v>
      </c>
      <c r="AH365">
        <v>13</v>
      </c>
      <c r="AI365">
        <v>16</v>
      </c>
      <c r="AJ365">
        <v>0</v>
      </c>
      <c r="AK365">
        <v>6</v>
      </c>
      <c r="AL365" t="s">
        <v>4858</v>
      </c>
      <c r="AM365" t="s">
        <v>4859</v>
      </c>
      <c r="AN365" t="s">
        <v>4860</v>
      </c>
      <c r="AO365" t="s">
        <v>5929</v>
      </c>
      <c r="AP365" t="s">
        <v>5930</v>
      </c>
      <c r="AQ365" t="s">
        <v>74</v>
      </c>
      <c r="AR365" t="s">
        <v>5931</v>
      </c>
      <c r="AS365" t="s">
        <v>5932</v>
      </c>
      <c r="AT365" t="s">
        <v>5933</v>
      </c>
      <c r="AU365">
        <v>2007</v>
      </c>
      <c r="AV365">
        <v>37</v>
      </c>
      <c r="AW365">
        <v>1</v>
      </c>
      <c r="AX365" t="s">
        <v>74</v>
      </c>
      <c r="AY365" t="s">
        <v>74</v>
      </c>
      <c r="AZ365" t="s">
        <v>74</v>
      </c>
      <c r="BA365" t="s">
        <v>74</v>
      </c>
      <c r="BB365">
        <v>39</v>
      </c>
      <c r="BC365">
        <v>45</v>
      </c>
      <c r="BD365" t="s">
        <v>74</v>
      </c>
      <c r="BE365" t="s">
        <v>5934</v>
      </c>
      <c r="BF365" t="str">
        <f>HYPERLINK("http://dx.doi.org/10.1080/10826060601039436","http://dx.doi.org/10.1080/10826060601039436")</f>
        <v>http://dx.doi.org/10.1080/10826060601039436</v>
      </c>
      <c r="BG365" t="s">
        <v>74</v>
      </c>
      <c r="BH365" t="s">
        <v>74</v>
      </c>
      <c r="BI365">
        <v>7</v>
      </c>
      <c r="BJ365" t="s">
        <v>5935</v>
      </c>
      <c r="BK365" t="s">
        <v>97</v>
      </c>
      <c r="BL365" t="s">
        <v>5936</v>
      </c>
      <c r="BM365" t="s">
        <v>5937</v>
      </c>
      <c r="BN365">
        <v>17134981</v>
      </c>
      <c r="BO365" t="s">
        <v>74</v>
      </c>
      <c r="BP365" t="s">
        <v>74</v>
      </c>
      <c r="BQ365" t="s">
        <v>74</v>
      </c>
      <c r="BR365" t="s">
        <v>100</v>
      </c>
      <c r="BS365" t="s">
        <v>5938</v>
      </c>
      <c r="BT365" t="str">
        <f>HYPERLINK("https%3A%2F%2Fwww.webofscience.com%2Fwos%2Fwoscc%2Ffull-record%2FWOS:000242559800004","View Full Record in Web of Science")</f>
        <v>View Full Record in Web of Science</v>
      </c>
    </row>
    <row r="366" spans="1:72" x14ac:dyDescent="0.15">
      <c r="A366" t="s">
        <v>72</v>
      </c>
      <c r="B366" t="s">
        <v>5939</v>
      </c>
      <c r="C366" t="s">
        <v>74</v>
      </c>
      <c r="D366" t="s">
        <v>74</v>
      </c>
      <c r="E366" t="s">
        <v>74</v>
      </c>
      <c r="F366" t="s">
        <v>5940</v>
      </c>
      <c r="G366" t="s">
        <v>74</v>
      </c>
      <c r="H366" t="s">
        <v>74</v>
      </c>
      <c r="I366" t="s">
        <v>5941</v>
      </c>
      <c r="J366" t="s">
        <v>5921</v>
      </c>
      <c r="K366" t="s">
        <v>74</v>
      </c>
      <c r="L366" t="s">
        <v>74</v>
      </c>
      <c r="M366" t="s">
        <v>78</v>
      </c>
      <c r="N366" t="s">
        <v>79</v>
      </c>
      <c r="O366" t="s">
        <v>74</v>
      </c>
      <c r="P366" t="s">
        <v>74</v>
      </c>
      <c r="Q366" t="s">
        <v>74</v>
      </c>
      <c r="R366" t="s">
        <v>74</v>
      </c>
      <c r="S366" t="s">
        <v>74</v>
      </c>
      <c r="T366" t="s">
        <v>5942</v>
      </c>
      <c r="U366" t="s">
        <v>5943</v>
      </c>
      <c r="V366" t="s">
        <v>5944</v>
      </c>
      <c r="W366" t="s">
        <v>5945</v>
      </c>
      <c r="X366" t="s">
        <v>5946</v>
      </c>
      <c r="Y366" t="s">
        <v>5947</v>
      </c>
      <c r="Z366" t="s">
        <v>5928</v>
      </c>
      <c r="AA366" t="s">
        <v>5948</v>
      </c>
      <c r="AB366" t="s">
        <v>74</v>
      </c>
      <c r="AC366" t="s">
        <v>74</v>
      </c>
      <c r="AD366" t="s">
        <v>74</v>
      </c>
      <c r="AE366" t="s">
        <v>74</v>
      </c>
      <c r="AF366" t="s">
        <v>74</v>
      </c>
      <c r="AG366">
        <v>13</v>
      </c>
      <c r="AH366">
        <v>28</v>
      </c>
      <c r="AI366">
        <v>40</v>
      </c>
      <c r="AJ366">
        <v>0</v>
      </c>
      <c r="AK366">
        <v>9</v>
      </c>
      <c r="AL366" t="s">
        <v>4858</v>
      </c>
      <c r="AM366" t="s">
        <v>4859</v>
      </c>
      <c r="AN366" t="s">
        <v>4860</v>
      </c>
      <c r="AO366" t="s">
        <v>5929</v>
      </c>
      <c r="AP366" t="s">
        <v>5930</v>
      </c>
      <c r="AQ366" t="s">
        <v>74</v>
      </c>
      <c r="AR366" t="s">
        <v>5931</v>
      </c>
      <c r="AS366" t="s">
        <v>5932</v>
      </c>
      <c r="AT366" t="s">
        <v>74</v>
      </c>
      <c r="AU366">
        <v>2007</v>
      </c>
      <c r="AV366">
        <v>37</v>
      </c>
      <c r="AW366">
        <v>2</v>
      </c>
      <c r="AX366" t="s">
        <v>74</v>
      </c>
      <c r="AY366" t="s">
        <v>74</v>
      </c>
      <c r="AZ366" t="s">
        <v>74</v>
      </c>
      <c r="BA366" t="s">
        <v>74</v>
      </c>
      <c r="BB366">
        <v>161</v>
      </c>
      <c r="BC366">
        <v>168</v>
      </c>
      <c r="BD366" t="s">
        <v>74</v>
      </c>
      <c r="BE366" t="s">
        <v>5949</v>
      </c>
      <c r="BF366" t="str">
        <f>HYPERLINK("http://dx.doi.org/10.1080/10826060701199122","http://dx.doi.org/10.1080/10826060701199122")</f>
        <v>http://dx.doi.org/10.1080/10826060701199122</v>
      </c>
      <c r="BG366" t="s">
        <v>74</v>
      </c>
      <c r="BH366" t="s">
        <v>74</v>
      </c>
      <c r="BI366">
        <v>8</v>
      </c>
      <c r="BJ366" t="s">
        <v>5935</v>
      </c>
      <c r="BK366" t="s">
        <v>97</v>
      </c>
      <c r="BL366" t="s">
        <v>5936</v>
      </c>
      <c r="BM366" t="s">
        <v>5950</v>
      </c>
      <c r="BN366">
        <v>17454826</v>
      </c>
      <c r="BO366" t="s">
        <v>74</v>
      </c>
      <c r="BP366" t="s">
        <v>74</v>
      </c>
      <c r="BQ366" t="s">
        <v>74</v>
      </c>
      <c r="BR366" t="s">
        <v>100</v>
      </c>
      <c r="BS366" t="s">
        <v>5951</v>
      </c>
      <c r="BT366" t="str">
        <f>HYPERLINK("https%3A%2F%2Fwww.webofscience.com%2Fwos%2Fwoscc%2Ffull-record%2FWOS:000245983900007","View Full Record in Web of Science")</f>
        <v>View Full Record in Web of Science</v>
      </c>
    </row>
    <row r="367" spans="1:72" x14ac:dyDescent="0.15">
      <c r="A367" t="s">
        <v>72</v>
      </c>
      <c r="B367" t="s">
        <v>5952</v>
      </c>
      <c r="C367" t="s">
        <v>74</v>
      </c>
      <c r="D367" t="s">
        <v>74</v>
      </c>
      <c r="E367" t="s">
        <v>74</v>
      </c>
      <c r="F367" t="s">
        <v>5953</v>
      </c>
      <c r="G367" t="s">
        <v>74</v>
      </c>
      <c r="H367" t="s">
        <v>74</v>
      </c>
      <c r="I367" t="s">
        <v>5954</v>
      </c>
      <c r="J367" t="s">
        <v>5921</v>
      </c>
      <c r="K367" t="s">
        <v>74</v>
      </c>
      <c r="L367" t="s">
        <v>74</v>
      </c>
      <c r="M367" t="s">
        <v>78</v>
      </c>
      <c r="N367" t="s">
        <v>79</v>
      </c>
      <c r="O367" t="s">
        <v>74</v>
      </c>
      <c r="P367" t="s">
        <v>74</v>
      </c>
      <c r="Q367" t="s">
        <v>74</v>
      </c>
      <c r="R367" t="s">
        <v>74</v>
      </c>
      <c r="S367" t="s">
        <v>74</v>
      </c>
      <c r="T367" t="s">
        <v>5955</v>
      </c>
      <c r="U367" t="s">
        <v>74</v>
      </c>
      <c r="V367" t="s">
        <v>5956</v>
      </c>
      <c r="W367" t="s">
        <v>5957</v>
      </c>
      <c r="X367" t="s">
        <v>5958</v>
      </c>
      <c r="Y367" t="s">
        <v>5959</v>
      </c>
      <c r="Z367" t="s">
        <v>5928</v>
      </c>
      <c r="AA367" t="s">
        <v>5960</v>
      </c>
      <c r="AB367" t="s">
        <v>74</v>
      </c>
      <c r="AC367" t="s">
        <v>74</v>
      </c>
      <c r="AD367" t="s">
        <v>74</v>
      </c>
      <c r="AE367" t="s">
        <v>74</v>
      </c>
      <c r="AF367" t="s">
        <v>74</v>
      </c>
      <c r="AG367">
        <v>12</v>
      </c>
      <c r="AH367">
        <v>17</v>
      </c>
      <c r="AI367">
        <v>20</v>
      </c>
      <c r="AJ367">
        <v>0</v>
      </c>
      <c r="AK367">
        <v>9</v>
      </c>
      <c r="AL367" t="s">
        <v>4858</v>
      </c>
      <c r="AM367" t="s">
        <v>4859</v>
      </c>
      <c r="AN367" t="s">
        <v>4860</v>
      </c>
      <c r="AO367" t="s">
        <v>5929</v>
      </c>
      <c r="AP367" t="s">
        <v>5930</v>
      </c>
      <c r="AQ367" t="s">
        <v>74</v>
      </c>
      <c r="AR367" t="s">
        <v>5931</v>
      </c>
      <c r="AS367" t="s">
        <v>5932</v>
      </c>
      <c r="AT367" t="s">
        <v>74</v>
      </c>
      <c r="AU367">
        <v>2007</v>
      </c>
      <c r="AV367">
        <v>37</v>
      </c>
      <c r="AW367">
        <v>4</v>
      </c>
      <c r="AX367" t="s">
        <v>74</v>
      </c>
      <c r="AY367" t="s">
        <v>74</v>
      </c>
      <c r="AZ367" t="s">
        <v>74</v>
      </c>
      <c r="BA367" t="s">
        <v>74</v>
      </c>
      <c r="BB367">
        <v>343</v>
      </c>
      <c r="BC367">
        <v>352</v>
      </c>
      <c r="BD367" t="s">
        <v>74</v>
      </c>
      <c r="BE367" t="s">
        <v>5961</v>
      </c>
      <c r="BF367" t="str">
        <f>HYPERLINK("http://dx.doi.org/10.1080/10826060701593241","http://dx.doi.org/10.1080/10826060701593241")</f>
        <v>http://dx.doi.org/10.1080/10826060701593241</v>
      </c>
      <c r="BG367" t="s">
        <v>74</v>
      </c>
      <c r="BH367" t="s">
        <v>74</v>
      </c>
      <c r="BI367">
        <v>10</v>
      </c>
      <c r="BJ367" t="s">
        <v>5935</v>
      </c>
      <c r="BK367" t="s">
        <v>97</v>
      </c>
      <c r="BL367" t="s">
        <v>5936</v>
      </c>
      <c r="BM367" t="s">
        <v>5962</v>
      </c>
      <c r="BN367">
        <v>17849289</v>
      </c>
      <c r="BO367" t="s">
        <v>74</v>
      </c>
      <c r="BP367" t="s">
        <v>74</v>
      </c>
      <c r="BQ367" t="s">
        <v>74</v>
      </c>
      <c r="BR367" t="s">
        <v>100</v>
      </c>
      <c r="BS367" t="s">
        <v>5963</v>
      </c>
      <c r="BT367" t="str">
        <f>HYPERLINK("https%3A%2F%2Fwww.webofscience.com%2Fwos%2Fwoscc%2Ffull-record%2FWOS:000249781000004","View Full Record in Web of Science")</f>
        <v>View Full Record in Web of Science</v>
      </c>
    </row>
    <row r="368" spans="1:72" x14ac:dyDescent="0.15">
      <c r="A368" t="s">
        <v>241</v>
      </c>
      <c r="B368" t="s">
        <v>5964</v>
      </c>
      <c r="C368" t="s">
        <v>74</v>
      </c>
      <c r="D368" t="s">
        <v>74</v>
      </c>
      <c r="E368" t="s">
        <v>2998</v>
      </c>
      <c r="F368" t="s">
        <v>5965</v>
      </c>
      <c r="G368" t="s">
        <v>74</v>
      </c>
      <c r="H368" t="s">
        <v>74</v>
      </c>
      <c r="I368" t="s">
        <v>5966</v>
      </c>
      <c r="J368" t="s">
        <v>5967</v>
      </c>
      <c r="K368" t="s">
        <v>74</v>
      </c>
      <c r="L368" t="s">
        <v>74</v>
      </c>
      <c r="M368" t="s">
        <v>78</v>
      </c>
      <c r="N368" t="s">
        <v>248</v>
      </c>
      <c r="O368" t="s">
        <v>5968</v>
      </c>
      <c r="P368" t="s">
        <v>5969</v>
      </c>
      <c r="Q368" t="s">
        <v>5970</v>
      </c>
      <c r="R368" t="s">
        <v>74</v>
      </c>
      <c r="S368" t="s">
        <v>74</v>
      </c>
      <c r="T368" t="s">
        <v>5971</v>
      </c>
      <c r="U368" t="s">
        <v>74</v>
      </c>
      <c r="V368" t="s">
        <v>5972</v>
      </c>
      <c r="W368" t="s">
        <v>5973</v>
      </c>
      <c r="X368" t="s">
        <v>5974</v>
      </c>
      <c r="Y368" t="s">
        <v>5975</v>
      </c>
      <c r="Z368" t="s">
        <v>5976</v>
      </c>
      <c r="AA368" t="s">
        <v>5977</v>
      </c>
      <c r="AB368" t="s">
        <v>5978</v>
      </c>
      <c r="AC368" t="s">
        <v>5979</v>
      </c>
      <c r="AD368" t="s">
        <v>5980</v>
      </c>
      <c r="AE368" t="s">
        <v>5981</v>
      </c>
      <c r="AF368" t="s">
        <v>74</v>
      </c>
      <c r="AG368">
        <v>12</v>
      </c>
      <c r="AH368">
        <v>3</v>
      </c>
      <c r="AI368">
        <v>3</v>
      </c>
      <c r="AJ368">
        <v>0</v>
      </c>
      <c r="AK368">
        <v>0</v>
      </c>
      <c r="AL368" t="s">
        <v>2998</v>
      </c>
      <c r="AM368" t="s">
        <v>678</v>
      </c>
      <c r="AN368" t="s">
        <v>2999</v>
      </c>
      <c r="AO368" t="s">
        <v>74</v>
      </c>
      <c r="AP368" t="s">
        <v>74</v>
      </c>
      <c r="AQ368" t="s">
        <v>5982</v>
      </c>
      <c r="AR368" t="s">
        <v>74</v>
      </c>
      <c r="AS368" t="s">
        <v>74</v>
      </c>
      <c r="AT368" t="s">
        <v>74</v>
      </c>
      <c r="AU368">
        <v>2007</v>
      </c>
      <c r="AV368" t="s">
        <v>74</v>
      </c>
      <c r="AW368" t="s">
        <v>74</v>
      </c>
      <c r="AX368" t="s">
        <v>74</v>
      </c>
      <c r="AY368" t="s">
        <v>74</v>
      </c>
      <c r="AZ368" t="s">
        <v>74</v>
      </c>
      <c r="BA368" t="s">
        <v>74</v>
      </c>
      <c r="BB368">
        <v>63</v>
      </c>
      <c r="BC368" t="s">
        <v>617</v>
      </c>
      <c r="BD368" t="s">
        <v>74</v>
      </c>
      <c r="BE368" t="s">
        <v>74</v>
      </c>
      <c r="BF368" t="s">
        <v>74</v>
      </c>
      <c r="BG368" t="s">
        <v>74</v>
      </c>
      <c r="BH368" t="s">
        <v>74</v>
      </c>
      <c r="BI368">
        <v>2</v>
      </c>
      <c r="BJ368" t="s">
        <v>5983</v>
      </c>
      <c r="BK368" t="s">
        <v>266</v>
      </c>
      <c r="BL368" t="s">
        <v>5984</v>
      </c>
      <c r="BM368" t="s">
        <v>5985</v>
      </c>
      <c r="BN368" t="s">
        <v>74</v>
      </c>
      <c r="BO368" t="s">
        <v>74</v>
      </c>
      <c r="BP368" t="s">
        <v>74</v>
      </c>
      <c r="BQ368" t="s">
        <v>74</v>
      </c>
      <c r="BR368" t="s">
        <v>100</v>
      </c>
      <c r="BS368" t="s">
        <v>5986</v>
      </c>
      <c r="BT368" t="str">
        <f>HYPERLINK("https%3A%2F%2Fwww.webofscience.com%2Fwos%2Fwoscc%2Ffull-record%2FWOS:000256667800014","View Full Record in Web of Science")</f>
        <v>View Full Record in Web of Science</v>
      </c>
    </row>
    <row r="369" spans="1:72" x14ac:dyDescent="0.15">
      <c r="A369" t="s">
        <v>241</v>
      </c>
      <c r="B369" t="s">
        <v>5987</v>
      </c>
      <c r="C369" t="s">
        <v>74</v>
      </c>
      <c r="D369" t="s">
        <v>74</v>
      </c>
      <c r="E369" t="s">
        <v>5988</v>
      </c>
      <c r="F369" t="s">
        <v>5989</v>
      </c>
      <c r="G369" t="s">
        <v>74</v>
      </c>
      <c r="H369" t="s">
        <v>74</v>
      </c>
      <c r="I369" t="s">
        <v>5990</v>
      </c>
      <c r="J369" t="s">
        <v>5991</v>
      </c>
      <c r="K369" t="s">
        <v>5992</v>
      </c>
      <c r="L369" t="s">
        <v>74</v>
      </c>
      <c r="M369" t="s">
        <v>78</v>
      </c>
      <c r="N369" t="s">
        <v>248</v>
      </c>
      <c r="O369" t="s">
        <v>5993</v>
      </c>
      <c r="P369" t="s">
        <v>5994</v>
      </c>
      <c r="Q369" t="s">
        <v>5995</v>
      </c>
      <c r="R369" t="s">
        <v>74</v>
      </c>
      <c r="S369" t="s">
        <v>74</v>
      </c>
      <c r="T369" t="s">
        <v>5996</v>
      </c>
      <c r="U369" t="s">
        <v>74</v>
      </c>
      <c r="V369" t="s">
        <v>5997</v>
      </c>
      <c r="W369" t="s">
        <v>5998</v>
      </c>
      <c r="X369" t="s">
        <v>74</v>
      </c>
      <c r="Y369" t="s">
        <v>5999</v>
      </c>
      <c r="Z369" t="s">
        <v>74</v>
      </c>
      <c r="AA369" t="s">
        <v>74</v>
      </c>
      <c r="AB369" t="s">
        <v>74</v>
      </c>
      <c r="AC369" t="s">
        <v>6000</v>
      </c>
      <c r="AD369" t="s">
        <v>6001</v>
      </c>
      <c r="AE369" t="s">
        <v>6002</v>
      </c>
      <c r="AF369" t="s">
        <v>74</v>
      </c>
      <c r="AG369">
        <v>17</v>
      </c>
      <c r="AH369">
        <v>0</v>
      </c>
      <c r="AI369">
        <v>0</v>
      </c>
      <c r="AJ369">
        <v>0</v>
      </c>
      <c r="AK369">
        <v>0</v>
      </c>
      <c r="AL369" t="s">
        <v>6003</v>
      </c>
      <c r="AM369" t="s">
        <v>6004</v>
      </c>
      <c r="AN369" t="s">
        <v>6005</v>
      </c>
      <c r="AO369" t="s">
        <v>6006</v>
      </c>
      <c r="AP369" t="s">
        <v>74</v>
      </c>
      <c r="AQ369" t="s">
        <v>6007</v>
      </c>
      <c r="AR369" t="s">
        <v>6008</v>
      </c>
      <c r="AS369" t="s">
        <v>74</v>
      </c>
      <c r="AT369" t="s">
        <v>74</v>
      </c>
      <c r="AU369">
        <v>2007</v>
      </c>
      <c r="AV369" t="s">
        <v>74</v>
      </c>
      <c r="AW369" t="s">
        <v>74</v>
      </c>
      <c r="AX369" t="s">
        <v>74</v>
      </c>
      <c r="AY369" t="s">
        <v>74</v>
      </c>
      <c r="AZ369" t="s">
        <v>74</v>
      </c>
      <c r="BA369" t="s">
        <v>74</v>
      </c>
      <c r="BB369">
        <v>617</v>
      </c>
      <c r="BC369" t="s">
        <v>617</v>
      </c>
      <c r="BD369" t="s">
        <v>74</v>
      </c>
      <c r="BE369" t="s">
        <v>74</v>
      </c>
      <c r="BF369" t="s">
        <v>74</v>
      </c>
      <c r="BG369" t="s">
        <v>74</v>
      </c>
      <c r="BH369" t="s">
        <v>74</v>
      </c>
      <c r="BI369">
        <v>2</v>
      </c>
      <c r="BJ369" t="s">
        <v>6009</v>
      </c>
      <c r="BK369" t="s">
        <v>266</v>
      </c>
      <c r="BL369" t="s">
        <v>6010</v>
      </c>
      <c r="BM369" t="s">
        <v>6011</v>
      </c>
      <c r="BN369" t="s">
        <v>74</v>
      </c>
      <c r="BO369" t="s">
        <v>74</v>
      </c>
      <c r="BP369" t="s">
        <v>74</v>
      </c>
      <c r="BQ369" t="s">
        <v>74</v>
      </c>
      <c r="BR369" t="s">
        <v>100</v>
      </c>
      <c r="BS369" t="s">
        <v>6012</v>
      </c>
      <c r="BT369" t="str">
        <f>HYPERLINK("https%3A%2F%2Fwww.webofscience.com%2Fwos%2Fwoscc%2Ffull-record%2FWOS:000250717700093","View Full Record in Web of Science")</f>
        <v>View Full Record in Web of Science</v>
      </c>
    </row>
    <row r="370" spans="1:72" x14ac:dyDescent="0.15">
      <c r="A370" t="s">
        <v>241</v>
      </c>
      <c r="B370" t="s">
        <v>6013</v>
      </c>
      <c r="C370" t="s">
        <v>74</v>
      </c>
      <c r="D370" t="s">
        <v>74</v>
      </c>
      <c r="E370" t="s">
        <v>5988</v>
      </c>
      <c r="F370" t="s">
        <v>6014</v>
      </c>
      <c r="G370" t="s">
        <v>74</v>
      </c>
      <c r="H370" t="s">
        <v>74</v>
      </c>
      <c r="I370" t="s">
        <v>6015</v>
      </c>
      <c r="J370" t="s">
        <v>5991</v>
      </c>
      <c r="K370" t="s">
        <v>5992</v>
      </c>
      <c r="L370" t="s">
        <v>74</v>
      </c>
      <c r="M370" t="s">
        <v>78</v>
      </c>
      <c r="N370" t="s">
        <v>248</v>
      </c>
      <c r="O370" t="s">
        <v>5993</v>
      </c>
      <c r="P370" t="s">
        <v>5994</v>
      </c>
      <c r="Q370" t="s">
        <v>5995</v>
      </c>
      <c r="R370" t="s">
        <v>74</v>
      </c>
      <c r="S370" t="s">
        <v>74</v>
      </c>
      <c r="T370" t="s">
        <v>6016</v>
      </c>
      <c r="U370" t="s">
        <v>74</v>
      </c>
      <c r="V370" t="s">
        <v>6017</v>
      </c>
      <c r="W370" t="s">
        <v>6018</v>
      </c>
      <c r="X370" t="s">
        <v>6019</v>
      </c>
      <c r="Y370" t="s">
        <v>6020</v>
      </c>
      <c r="Z370" t="s">
        <v>74</v>
      </c>
      <c r="AA370" t="s">
        <v>74</v>
      </c>
      <c r="AB370" t="s">
        <v>6021</v>
      </c>
      <c r="AC370" t="s">
        <v>74</v>
      </c>
      <c r="AD370" t="s">
        <v>74</v>
      </c>
      <c r="AE370" t="s">
        <v>74</v>
      </c>
      <c r="AF370" t="s">
        <v>74</v>
      </c>
      <c r="AG370">
        <v>16</v>
      </c>
      <c r="AH370">
        <v>2</v>
      </c>
      <c r="AI370">
        <v>2</v>
      </c>
      <c r="AJ370">
        <v>1</v>
      </c>
      <c r="AK370">
        <v>3</v>
      </c>
      <c r="AL370" t="s">
        <v>6003</v>
      </c>
      <c r="AM370" t="s">
        <v>6004</v>
      </c>
      <c r="AN370" t="s">
        <v>6005</v>
      </c>
      <c r="AO370" t="s">
        <v>6006</v>
      </c>
      <c r="AP370" t="s">
        <v>74</v>
      </c>
      <c r="AQ370" t="s">
        <v>6007</v>
      </c>
      <c r="AR370" t="s">
        <v>6008</v>
      </c>
      <c r="AS370" t="s">
        <v>74</v>
      </c>
      <c r="AT370" t="s">
        <v>74</v>
      </c>
      <c r="AU370">
        <v>2007</v>
      </c>
      <c r="AV370" t="s">
        <v>74</v>
      </c>
      <c r="AW370" t="s">
        <v>74</v>
      </c>
      <c r="AX370" t="s">
        <v>74</v>
      </c>
      <c r="AY370" t="s">
        <v>74</v>
      </c>
      <c r="AZ370" t="s">
        <v>74</v>
      </c>
      <c r="BA370" t="s">
        <v>74</v>
      </c>
      <c r="BB370">
        <v>625</v>
      </c>
      <c r="BC370">
        <v>632</v>
      </c>
      <c r="BD370" t="s">
        <v>74</v>
      </c>
      <c r="BE370" t="s">
        <v>74</v>
      </c>
      <c r="BF370" t="s">
        <v>74</v>
      </c>
      <c r="BG370" t="s">
        <v>74</v>
      </c>
      <c r="BH370" t="s">
        <v>74</v>
      </c>
      <c r="BI370">
        <v>8</v>
      </c>
      <c r="BJ370" t="s">
        <v>6009</v>
      </c>
      <c r="BK370" t="s">
        <v>266</v>
      </c>
      <c r="BL370" t="s">
        <v>6010</v>
      </c>
      <c r="BM370" t="s">
        <v>6011</v>
      </c>
      <c r="BN370" t="s">
        <v>74</v>
      </c>
      <c r="BO370" t="s">
        <v>74</v>
      </c>
      <c r="BP370" t="s">
        <v>74</v>
      </c>
      <c r="BQ370" t="s">
        <v>74</v>
      </c>
      <c r="BR370" t="s">
        <v>100</v>
      </c>
      <c r="BS370" t="s">
        <v>6022</v>
      </c>
      <c r="BT370" t="str">
        <f>HYPERLINK("https%3A%2F%2Fwww.webofscience.com%2Fwos%2Fwoscc%2Ffull-record%2FWOS:000250717700094","View Full Record in Web of Science")</f>
        <v>View Full Record in Web of Science</v>
      </c>
    </row>
    <row r="371" spans="1:72" x14ac:dyDescent="0.15">
      <c r="A371" t="s">
        <v>241</v>
      </c>
      <c r="B371" t="s">
        <v>6023</v>
      </c>
      <c r="C371" t="s">
        <v>74</v>
      </c>
      <c r="D371" t="s">
        <v>74</v>
      </c>
      <c r="E371" t="s">
        <v>5988</v>
      </c>
      <c r="F371" t="s">
        <v>6024</v>
      </c>
      <c r="G371" t="s">
        <v>74</v>
      </c>
      <c r="H371" t="s">
        <v>74</v>
      </c>
      <c r="I371" t="s">
        <v>6025</v>
      </c>
      <c r="J371" t="s">
        <v>5991</v>
      </c>
      <c r="K371" t="s">
        <v>5992</v>
      </c>
      <c r="L371" t="s">
        <v>74</v>
      </c>
      <c r="M371" t="s">
        <v>78</v>
      </c>
      <c r="N371" t="s">
        <v>248</v>
      </c>
      <c r="O371" t="s">
        <v>5993</v>
      </c>
      <c r="P371" t="s">
        <v>5994</v>
      </c>
      <c r="Q371" t="s">
        <v>5995</v>
      </c>
      <c r="R371" t="s">
        <v>74</v>
      </c>
      <c r="S371" t="s">
        <v>74</v>
      </c>
      <c r="T371" t="s">
        <v>6026</v>
      </c>
      <c r="U371" t="s">
        <v>74</v>
      </c>
      <c r="V371" t="s">
        <v>6027</v>
      </c>
      <c r="W371" t="s">
        <v>6028</v>
      </c>
      <c r="X371" t="s">
        <v>74</v>
      </c>
      <c r="Y371" t="s">
        <v>6029</v>
      </c>
      <c r="Z371" t="s">
        <v>74</v>
      </c>
      <c r="AA371" t="s">
        <v>74</v>
      </c>
      <c r="AB371" t="s">
        <v>74</v>
      </c>
      <c r="AC371" t="s">
        <v>74</v>
      </c>
      <c r="AD371" t="s">
        <v>74</v>
      </c>
      <c r="AE371" t="s">
        <v>74</v>
      </c>
      <c r="AF371" t="s">
        <v>74</v>
      </c>
      <c r="AG371">
        <v>12</v>
      </c>
      <c r="AH371">
        <v>3</v>
      </c>
      <c r="AI371">
        <v>3</v>
      </c>
      <c r="AJ371">
        <v>0</v>
      </c>
      <c r="AK371">
        <v>2</v>
      </c>
      <c r="AL371" t="s">
        <v>6003</v>
      </c>
      <c r="AM371" t="s">
        <v>6004</v>
      </c>
      <c r="AN371" t="s">
        <v>6005</v>
      </c>
      <c r="AO371" t="s">
        <v>6006</v>
      </c>
      <c r="AP371" t="s">
        <v>74</v>
      </c>
      <c r="AQ371" t="s">
        <v>6007</v>
      </c>
      <c r="AR371" t="s">
        <v>6008</v>
      </c>
      <c r="AS371" t="s">
        <v>74</v>
      </c>
      <c r="AT371" t="s">
        <v>74</v>
      </c>
      <c r="AU371">
        <v>2007</v>
      </c>
      <c r="AV371" t="s">
        <v>74</v>
      </c>
      <c r="AW371" t="s">
        <v>74</v>
      </c>
      <c r="AX371" t="s">
        <v>74</v>
      </c>
      <c r="AY371" t="s">
        <v>74</v>
      </c>
      <c r="AZ371" t="s">
        <v>74</v>
      </c>
      <c r="BA371" t="s">
        <v>74</v>
      </c>
      <c r="BB371">
        <v>633</v>
      </c>
      <c r="BC371">
        <v>638</v>
      </c>
      <c r="BD371" t="s">
        <v>74</v>
      </c>
      <c r="BE371" t="s">
        <v>74</v>
      </c>
      <c r="BF371" t="s">
        <v>74</v>
      </c>
      <c r="BG371" t="s">
        <v>74</v>
      </c>
      <c r="BH371" t="s">
        <v>74</v>
      </c>
      <c r="BI371">
        <v>6</v>
      </c>
      <c r="BJ371" t="s">
        <v>6009</v>
      </c>
      <c r="BK371" t="s">
        <v>266</v>
      </c>
      <c r="BL371" t="s">
        <v>6010</v>
      </c>
      <c r="BM371" t="s">
        <v>6011</v>
      </c>
      <c r="BN371" t="s">
        <v>74</v>
      </c>
      <c r="BO371" t="s">
        <v>74</v>
      </c>
      <c r="BP371" t="s">
        <v>74</v>
      </c>
      <c r="BQ371" t="s">
        <v>74</v>
      </c>
      <c r="BR371" t="s">
        <v>100</v>
      </c>
      <c r="BS371" t="s">
        <v>6030</v>
      </c>
      <c r="BT371" t="str">
        <f>HYPERLINK("https%3A%2F%2Fwww.webofscience.com%2Fwos%2Fwoscc%2Ffull-record%2FWOS:000250717700095","View Full Record in Web of Science")</f>
        <v>View Full Record in Web of Science</v>
      </c>
    </row>
    <row r="372" spans="1:72" x14ac:dyDescent="0.15">
      <c r="A372" t="s">
        <v>241</v>
      </c>
      <c r="B372" t="s">
        <v>6031</v>
      </c>
      <c r="C372" t="s">
        <v>74</v>
      </c>
      <c r="D372" t="s">
        <v>74</v>
      </c>
      <c r="E372" t="s">
        <v>5988</v>
      </c>
      <c r="F372" t="s">
        <v>6032</v>
      </c>
      <c r="G372" t="s">
        <v>74</v>
      </c>
      <c r="H372" t="s">
        <v>74</v>
      </c>
      <c r="I372" t="s">
        <v>6033</v>
      </c>
      <c r="J372" t="s">
        <v>5991</v>
      </c>
      <c r="K372" t="s">
        <v>5992</v>
      </c>
      <c r="L372" t="s">
        <v>74</v>
      </c>
      <c r="M372" t="s">
        <v>78</v>
      </c>
      <c r="N372" t="s">
        <v>248</v>
      </c>
      <c r="O372" t="s">
        <v>5993</v>
      </c>
      <c r="P372" t="s">
        <v>5994</v>
      </c>
      <c r="Q372" t="s">
        <v>5995</v>
      </c>
      <c r="R372" t="s">
        <v>74</v>
      </c>
      <c r="S372" t="s">
        <v>74</v>
      </c>
      <c r="T372" t="s">
        <v>6034</v>
      </c>
      <c r="U372" t="s">
        <v>74</v>
      </c>
      <c r="V372" t="s">
        <v>6035</v>
      </c>
      <c r="W372" t="s">
        <v>6036</v>
      </c>
      <c r="X372" t="s">
        <v>74</v>
      </c>
      <c r="Y372" t="s">
        <v>6037</v>
      </c>
      <c r="Z372" t="s">
        <v>74</v>
      </c>
      <c r="AA372" t="s">
        <v>6038</v>
      </c>
      <c r="AB372" t="s">
        <v>74</v>
      </c>
      <c r="AC372" t="s">
        <v>6039</v>
      </c>
      <c r="AD372" t="s">
        <v>74</v>
      </c>
      <c r="AE372" t="s">
        <v>6040</v>
      </c>
      <c r="AF372" t="s">
        <v>74</v>
      </c>
      <c r="AG372">
        <v>7</v>
      </c>
      <c r="AH372">
        <v>0</v>
      </c>
      <c r="AI372">
        <v>0</v>
      </c>
      <c r="AJ372">
        <v>0</v>
      </c>
      <c r="AK372">
        <v>1</v>
      </c>
      <c r="AL372" t="s">
        <v>6003</v>
      </c>
      <c r="AM372" t="s">
        <v>6004</v>
      </c>
      <c r="AN372" t="s">
        <v>6005</v>
      </c>
      <c r="AO372" t="s">
        <v>6006</v>
      </c>
      <c r="AP372" t="s">
        <v>74</v>
      </c>
      <c r="AQ372" t="s">
        <v>6007</v>
      </c>
      <c r="AR372" t="s">
        <v>6008</v>
      </c>
      <c r="AS372" t="s">
        <v>74</v>
      </c>
      <c r="AT372" t="s">
        <v>74</v>
      </c>
      <c r="AU372">
        <v>2007</v>
      </c>
      <c r="AV372" t="s">
        <v>74</v>
      </c>
      <c r="AW372" t="s">
        <v>74</v>
      </c>
      <c r="AX372" t="s">
        <v>74</v>
      </c>
      <c r="AY372" t="s">
        <v>74</v>
      </c>
      <c r="AZ372" t="s">
        <v>74</v>
      </c>
      <c r="BA372" t="s">
        <v>74</v>
      </c>
      <c r="BB372">
        <v>735</v>
      </c>
      <c r="BC372" t="s">
        <v>617</v>
      </c>
      <c r="BD372" t="s">
        <v>74</v>
      </c>
      <c r="BE372" t="s">
        <v>74</v>
      </c>
      <c r="BF372" t="s">
        <v>74</v>
      </c>
      <c r="BG372" t="s">
        <v>74</v>
      </c>
      <c r="BH372" t="s">
        <v>74</v>
      </c>
      <c r="BI372">
        <v>2</v>
      </c>
      <c r="BJ372" t="s">
        <v>6009</v>
      </c>
      <c r="BK372" t="s">
        <v>266</v>
      </c>
      <c r="BL372" t="s">
        <v>6010</v>
      </c>
      <c r="BM372" t="s">
        <v>6011</v>
      </c>
      <c r="BN372" t="s">
        <v>74</v>
      </c>
      <c r="BO372" t="s">
        <v>74</v>
      </c>
      <c r="BP372" t="s">
        <v>74</v>
      </c>
      <c r="BQ372" t="s">
        <v>74</v>
      </c>
      <c r="BR372" t="s">
        <v>100</v>
      </c>
      <c r="BS372" t="s">
        <v>6041</v>
      </c>
      <c r="BT372" t="str">
        <f>HYPERLINK("https%3A%2F%2Fwww.webofscience.com%2Fwos%2Fwoscc%2Ffull-record%2FWOS:000250717700112","View Full Record in Web of Science")</f>
        <v>View Full Record in Web of Science</v>
      </c>
    </row>
    <row r="373" spans="1:72" x14ac:dyDescent="0.15">
      <c r="A373" t="s">
        <v>241</v>
      </c>
      <c r="B373" t="s">
        <v>6042</v>
      </c>
      <c r="C373" t="s">
        <v>74</v>
      </c>
      <c r="D373" t="s">
        <v>74</v>
      </c>
      <c r="E373" t="s">
        <v>5988</v>
      </c>
      <c r="F373" t="s">
        <v>6043</v>
      </c>
      <c r="G373" t="s">
        <v>74</v>
      </c>
      <c r="H373" t="s">
        <v>74</v>
      </c>
      <c r="I373" t="s">
        <v>6044</v>
      </c>
      <c r="J373" t="s">
        <v>5991</v>
      </c>
      <c r="K373" t="s">
        <v>5992</v>
      </c>
      <c r="L373" t="s">
        <v>74</v>
      </c>
      <c r="M373" t="s">
        <v>78</v>
      </c>
      <c r="N373" t="s">
        <v>248</v>
      </c>
      <c r="O373" t="s">
        <v>5993</v>
      </c>
      <c r="P373" t="s">
        <v>5994</v>
      </c>
      <c r="Q373" t="s">
        <v>5995</v>
      </c>
      <c r="R373" t="s">
        <v>74</v>
      </c>
      <c r="S373" t="s">
        <v>74</v>
      </c>
      <c r="T373" t="s">
        <v>6045</v>
      </c>
      <c r="U373" t="s">
        <v>6046</v>
      </c>
      <c r="V373" t="s">
        <v>6047</v>
      </c>
      <c r="W373" t="s">
        <v>6048</v>
      </c>
      <c r="X373" t="s">
        <v>74</v>
      </c>
      <c r="Y373" t="s">
        <v>6049</v>
      </c>
      <c r="Z373" t="s">
        <v>74</v>
      </c>
      <c r="AA373" t="s">
        <v>74</v>
      </c>
      <c r="AB373" t="s">
        <v>74</v>
      </c>
      <c r="AC373" t="s">
        <v>74</v>
      </c>
      <c r="AD373" t="s">
        <v>74</v>
      </c>
      <c r="AE373" t="s">
        <v>74</v>
      </c>
      <c r="AF373" t="s">
        <v>74</v>
      </c>
      <c r="AG373">
        <v>15</v>
      </c>
      <c r="AH373">
        <v>0</v>
      </c>
      <c r="AI373">
        <v>0</v>
      </c>
      <c r="AJ373">
        <v>0</v>
      </c>
      <c r="AK373">
        <v>4</v>
      </c>
      <c r="AL373" t="s">
        <v>6003</v>
      </c>
      <c r="AM373" t="s">
        <v>6004</v>
      </c>
      <c r="AN373" t="s">
        <v>6005</v>
      </c>
      <c r="AO373" t="s">
        <v>6006</v>
      </c>
      <c r="AP373" t="s">
        <v>74</v>
      </c>
      <c r="AQ373" t="s">
        <v>6007</v>
      </c>
      <c r="AR373" t="s">
        <v>6008</v>
      </c>
      <c r="AS373" t="s">
        <v>74</v>
      </c>
      <c r="AT373" t="s">
        <v>74</v>
      </c>
      <c r="AU373">
        <v>2007</v>
      </c>
      <c r="AV373" t="s">
        <v>74</v>
      </c>
      <c r="AW373" t="s">
        <v>74</v>
      </c>
      <c r="AX373" t="s">
        <v>74</v>
      </c>
      <c r="AY373" t="s">
        <v>74</v>
      </c>
      <c r="AZ373" t="s">
        <v>74</v>
      </c>
      <c r="BA373" t="s">
        <v>74</v>
      </c>
      <c r="BB373">
        <v>2092</v>
      </c>
      <c r="BC373">
        <v>2099</v>
      </c>
      <c r="BD373" t="s">
        <v>74</v>
      </c>
      <c r="BE373" t="s">
        <v>74</v>
      </c>
      <c r="BF373" t="s">
        <v>74</v>
      </c>
      <c r="BG373" t="s">
        <v>74</v>
      </c>
      <c r="BH373" t="s">
        <v>74</v>
      </c>
      <c r="BI373">
        <v>8</v>
      </c>
      <c r="BJ373" t="s">
        <v>6009</v>
      </c>
      <c r="BK373" t="s">
        <v>266</v>
      </c>
      <c r="BL373" t="s">
        <v>6010</v>
      </c>
      <c r="BM373" t="s">
        <v>6011</v>
      </c>
      <c r="BN373" t="s">
        <v>74</v>
      </c>
      <c r="BO373" t="s">
        <v>74</v>
      </c>
      <c r="BP373" t="s">
        <v>74</v>
      </c>
      <c r="BQ373" t="s">
        <v>74</v>
      </c>
      <c r="BR373" t="s">
        <v>100</v>
      </c>
      <c r="BS373" t="s">
        <v>6050</v>
      </c>
      <c r="BT373" t="str">
        <f>HYPERLINK("https%3A%2F%2Fwww.webofscience.com%2Fwos%2Fwoscc%2Ffull-record%2FWOS:000250717702058","View Full Record in Web of Science")</f>
        <v>View Full Record in Web of Science</v>
      </c>
    </row>
    <row r="374" spans="1:72" x14ac:dyDescent="0.15">
      <c r="A374" t="s">
        <v>241</v>
      </c>
      <c r="B374" t="s">
        <v>6042</v>
      </c>
      <c r="C374" t="s">
        <v>74</v>
      </c>
      <c r="D374" t="s">
        <v>74</v>
      </c>
      <c r="E374" t="s">
        <v>5988</v>
      </c>
      <c r="F374" t="s">
        <v>6043</v>
      </c>
      <c r="G374" t="s">
        <v>74</v>
      </c>
      <c r="H374" t="s">
        <v>74</v>
      </c>
      <c r="I374" t="s">
        <v>6044</v>
      </c>
      <c r="J374" t="s">
        <v>5991</v>
      </c>
      <c r="K374" t="s">
        <v>5992</v>
      </c>
      <c r="L374" t="s">
        <v>74</v>
      </c>
      <c r="M374" t="s">
        <v>78</v>
      </c>
      <c r="N374" t="s">
        <v>248</v>
      </c>
      <c r="O374" t="s">
        <v>5993</v>
      </c>
      <c r="P374" t="s">
        <v>5994</v>
      </c>
      <c r="Q374" t="s">
        <v>5995</v>
      </c>
      <c r="R374" t="s">
        <v>74</v>
      </c>
      <c r="S374" t="s">
        <v>74</v>
      </c>
      <c r="T374" t="s">
        <v>6051</v>
      </c>
      <c r="U374" t="s">
        <v>6046</v>
      </c>
      <c r="V374" t="s">
        <v>6047</v>
      </c>
      <c r="W374" t="s">
        <v>6048</v>
      </c>
      <c r="X374" t="s">
        <v>74</v>
      </c>
      <c r="Y374" t="s">
        <v>6049</v>
      </c>
      <c r="Z374" t="s">
        <v>74</v>
      </c>
      <c r="AA374" t="s">
        <v>74</v>
      </c>
      <c r="AB374" t="s">
        <v>74</v>
      </c>
      <c r="AC374" t="s">
        <v>74</v>
      </c>
      <c r="AD374" t="s">
        <v>74</v>
      </c>
      <c r="AE374" t="s">
        <v>74</v>
      </c>
      <c r="AF374" t="s">
        <v>74</v>
      </c>
      <c r="AG374">
        <v>15</v>
      </c>
      <c r="AH374">
        <v>0</v>
      </c>
      <c r="AI374">
        <v>0</v>
      </c>
      <c r="AJ374">
        <v>0</v>
      </c>
      <c r="AK374">
        <v>4</v>
      </c>
      <c r="AL374" t="s">
        <v>6003</v>
      </c>
      <c r="AM374" t="s">
        <v>6004</v>
      </c>
      <c r="AN374" t="s">
        <v>6005</v>
      </c>
      <c r="AO374" t="s">
        <v>6006</v>
      </c>
      <c r="AP374" t="s">
        <v>74</v>
      </c>
      <c r="AQ374" t="s">
        <v>6007</v>
      </c>
      <c r="AR374" t="s">
        <v>6008</v>
      </c>
      <c r="AS374" t="s">
        <v>74</v>
      </c>
      <c r="AT374" t="s">
        <v>74</v>
      </c>
      <c r="AU374">
        <v>2007</v>
      </c>
      <c r="AV374" t="s">
        <v>74</v>
      </c>
      <c r="AW374" t="s">
        <v>74</v>
      </c>
      <c r="AX374" t="s">
        <v>74</v>
      </c>
      <c r="AY374" t="s">
        <v>74</v>
      </c>
      <c r="AZ374" t="s">
        <v>74</v>
      </c>
      <c r="BA374" t="s">
        <v>74</v>
      </c>
      <c r="BB374">
        <v>2192</v>
      </c>
      <c r="BC374">
        <v>2199</v>
      </c>
      <c r="BD374" t="s">
        <v>74</v>
      </c>
      <c r="BE374" t="s">
        <v>74</v>
      </c>
      <c r="BF374" t="s">
        <v>74</v>
      </c>
      <c r="BG374" t="s">
        <v>74</v>
      </c>
      <c r="BH374" t="s">
        <v>74</v>
      </c>
      <c r="BI374">
        <v>8</v>
      </c>
      <c r="BJ374" t="s">
        <v>6009</v>
      </c>
      <c r="BK374" t="s">
        <v>266</v>
      </c>
      <c r="BL374" t="s">
        <v>6010</v>
      </c>
      <c r="BM374" t="s">
        <v>6011</v>
      </c>
      <c r="BN374" t="s">
        <v>74</v>
      </c>
      <c r="BO374" t="s">
        <v>74</v>
      </c>
      <c r="BP374" t="s">
        <v>74</v>
      </c>
      <c r="BQ374" t="s">
        <v>74</v>
      </c>
      <c r="BR374" t="s">
        <v>100</v>
      </c>
      <c r="BS374" t="s">
        <v>6052</v>
      </c>
      <c r="BT374" t="str">
        <f>HYPERLINK("https%3A%2F%2Fwww.webofscience.com%2Fwos%2Fwoscc%2Ffull-record%2FWOS:000250717702071","View Full Record in Web of Science")</f>
        <v>View Full Record in Web of Science</v>
      </c>
    </row>
    <row r="375" spans="1:72" x14ac:dyDescent="0.15">
      <c r="A375" t="s">
        <v>241</v>
      </c>
      <c r="B375" t="s">
        <v>6053</v>
      </c>
      <c r="C375" t="s">
        <v>74</v>
      </c>
      <c r="D375" t="s">
        <v>6054</v>
      </c>
      <c r="E375" t="s">
        <v>74</v>
      </c>
      <c r="F375" t="s">
        <v>6055</v>
      </c>
      <c r="G375" t="s">
        <v>74</v>
      </c>
      <c r="H375" t="s">
        <v>691</v>
      </c>
      <c r="I375" t="s">
        <v>6056</v>
      </c>
      <c r="J375" t="s">
        <v>6057</v>
      </c>
      <c r="K375" t="s">
        <v>247</v>
      </c>
      <c r="L375" t="s">
        <v>74</v>
      </c>
      <c r="M375" t="s">
        <v>78</v>
      </c>
      <c r="N375" t="s">
        <v>248</v>
      </c>
      <c r="O375" t="s">
        <v>6058</v>
      </c>
      <c r="P375" t="s">
        <v>6059</v>
      </c>
      <c r="Q375" t="s">
        <v>6060</v>
      </c>
      <c r="R375" t="s">
        <v>74</v>
      </c>
      <c r="S375" t="s">
        <v>74</v>
      </c>
      <c r="T375" t="s">
        <v>74</v>
      </c>
      <c r="U375" t="s">
        <v>74</v>
      </c>
      <c r="V375" t="s">
        <v>6061</v>
      </c>
      <c r="W375" t="s">
        <v>6062</v>
      </c>
      <c r="X375" t="s">
        <v>6063</v>
      </c>
      <c r="Y375" t="s">
        <v>6064</v>
      </c>
      <c r="Z375" t="s">
        <v>6065</v>
      </c>
      <c r="AA375" t="s">
        <v>6066</v>
      </c>
      <c r="AB375" t="s">
        <v>6067</v>
      </c>
      <c r="AC375" t="s">
        <v>74</v>
      </c>
      <c r="AD375" t="s">
        <v>74</v>
      </c>
      <c r="AE375" t="s">
        <v>74</v>
      </c>
      <c r="AF375" t="s">
        <v>74</v>
      </c>
      <c r="AG375">
        <v>11</v>
      </c>
      <c r="AH375">
        <v>1</v>
      </c>
      <c r="AI375">
        <v>1</v>
      </c>
      <c r="AJ375">
        <v>0</v>
      </c>
      <c r="AK375">
        <v>0</v>
      </c>
      <c r="AL375" t="s">
        <v>258</v>
      </c>
      <c r="AM375" t="s">
        <v>259</v>
      </c>
      <c r="AN375" t="s">
        <v>260</v>
      </c>
      <c r="AO375" t="s">
        <v>261</v>
      </c>
      <c r="AP375" t="s">
        <v>262</v>
      </c>
      <c r="AQ375" t="s">
        <v>74</v>
      </c>
      <c r="AR375" t="s">
        <v>263</v>
      </c>
      <c r="AS375" t="s">
        <v>74</v>
      </c>
      <c r="AT375" t="s">
        <v>74</v>
      </c>
      <c r="AU375">
        <v>2007</v>
      </c>
      <c r="AV375">
        <v>60</v>
      </c>
      <c r="AW375" t="s">
        <v>74</v>
      </c>
      <c r="AX375" t="s">
        <v>74</v>
      </c>
      <c r="AY375" t="s">
        <v>74</v>
      </c>
      <c r="AZ375" t="s">
        <v>74</v>
      </c>
      <c r="BA375" t="s">
        <v>74</v>
      </c>
      <c r="BB375">
        <v>219</v>
      </c>
      <c r="BC375">
        <v>222</v>
      </c>
      <c r="BD375" t="s">
        <v>74</v>
      </c>
      <c r="BE375" t="s">
        <v>6068</v>
      </c>
      <c r="BF375" t="str">
        <f>HYPERLINK("http://dx.doi.org/10.1088/1742-6596/60/1/046","http://dx.doi.org/10.1088/1742-6596/60/1/046")</f>
        <v>http://dx.doi.org/10.1088/1742-6596/60/1/046</v>
      </c>
      <c r="BG375" t="s">
        <v>74</v>
      </c>
      <c r="BH375" t="s">
        <v>74</v>
      </c>
      <c r="BI375">
        <v>4</v>
      </c>
      <c r="BJ375" t="s">
        <v>5450</v>
      </c>
      <c r="BK375" t="s">
        <v>266</v>
      </c>
      <c r="BL375" t="s">
        <v>2494</v>
      </c>
      <c r="BM375" t="s">
        <v>6069</v>
      </c>
      <c r="BN375" t="s">
        <v>74</v>
      </c>
      <c r="BO375" t="s">
        <v>269</v>
      </c>
      <c r="BP375" t="s">
        <v>74</v>
      </c>
      <c r="BQ375" t="s">
        <v>74</v>
      </c>
      <c r="BR375" t="s">
        <v>100</v>
      </c>
      <c r="BS375" t="s">
        <v>6070</v>
      </c>
      <c r="BT375" t="str">
        <f>HYPERLINK("https%3A%2F%2Fwww.webofscience.com%2Fwos%2Fwoscc%2Ffull-record%2FWOS:000246508400046","View Full Record in Web of Science")</f>
        <v>View Full Record in Web of Science</v>
      </c>
    </row>
    <row r="376" spans="1:72" x14ac:dyDescent="0.15">
      <c r="A376" t="s">
        <v>241</v>
      </c>
      <c r="B376" t="s">
        <v>6071</v>
      </c>
      <c r="C376" t="s">
        <v>74</v>
      </c>
      <c r="D376" t="s">
        <v>6054</v>
      </c>
      <c r="E376" t="s">
        <v>74</v>
      </c>
      <c r="F376" t="s">
        <v>6072</v>
      </c>
      <c r="G376" t="s">
        <v>74</v>
      </c>
      <c r="H376" t="s">
        <v>691</v>
      </c>
      <c r="I376" t="s">
        <v>6073</v>
      </c>
      <c r="J376" t="s">
        <v>6057</v>
      </c>
      <c r="K376" t="s">
        <v>247</v>
      </c>
      <c r="L376" t="s">
        <v>74</v>
      </c>
      <c r="M376" t="s">
        <v>78</v>
      </c>
      <c r="N376" t="s">
        <v>248</v>
      </c>
      <c r="O376" t="s">
        <v>6058</v>
      </c>
      <c r="P376" t="s">
        <v>6059</v>
      </c>
      <c r="Q376" t="s">
        <v>6060</v>
      </c>
      <c r="R376" t="s">
        <v>74</v>
      </c>
      <c r="S376" t="s">
        <v>74</v>
      </c>
      <c r="T376" t="s">
        <v>74</v>
      </c>
      <c r="U376" t="s">
        <v>74</v>
      </c>
      <c r="V376" t="s">
        <v>6074</v>
      </c>
      <c r="W376" t="s">
        <v>6075</v>
      </c>
      <c r="X376" t="s">
        <v>6076</v>
      </c>
      <c r="Y376" t="s">
        <v>6077</v>
      </c>
      <c r="Z376" t="s">
        <v>6078</v>
      </c>
      <c r="AA376" t="s">
        <v>703</v>
      </c>
      <c r="AB376" t="s">
        <v>74</v>
      </c>
      <c r="AC376" t="s">
        <v>74</v>
      </c>
      <c r="AD376" t="s">
        <v>74</v>
      </c>
      <c r="AE376" t="s">
        <v>74</v>
      </c>
      <c r="AF376" t="s">
        <v>74</v>
      </c>
      <c r="AG376">
        <v>9</v>
      </c>
      <c r="AH376">
        <v>2</v>
      </c>
      <c r="AI376">
        <v>2</v>
      </c>
      <c r="AJ376">
        <v>0</v>
      </c>
      <c r="AK376">
        <v>0</v>
      </c>
      <c r="AL376" t="s">
        <v>258</v>
      </c>
      <c r="AM376" t="s">
        <v>259</v>
      </c>
      <c r="AN376" t="s">
        <v>260</v>
      </c>
      <c r="AO376" t="s">
        <v>261</v>
      </c>
      <c r="AP376" t="s">
        <v>262</v>
      </c>
      <c r="AQ376" t="s">
        <v>74</v>
      </c>
      <c r="AR376" t="s">
        <v>263</v>
      </c>
      <c r="AS376" t="s">
        <v>74</v>
      </c>
      <c r="AT376" t="s">
        <v>74</v>
      </c>
      <c r="AU376">
        <v>2007</v>
      </c>
      <c r="AV376">
        <v>60</v>
      </c>
      <c r="AW376" t="s">
        <v>74</v>
      </c>
      <c r="AX376" t="s">
        <v>74</v>
      </c>
      <c r="AY376" t="s">
        <v>74</v>
      </c>
      <c r="AZ376" t="s">
        <v>74</v>
      </c>
      <c r="BA376" t="s">
        <v>74</v>
      </c>
      <c r="BB376">
        <v>334</v>
      </c>
      <c r="BC376" t="s">
        <v>617</v>
      </c>
      <c r="BD376" t="s">
        <v>74</v>
      </c>
      <c r="BE376" t="s">
        <v>6079</v>
      </c>
      <c r="BF376" t="str">
        <f>HYPERLINK("http://dx.doi.org/10.1088/1742-6596/60/1/076","http://dx.doi.org/10.1088/1742-6596/60/1/076")</f>
        <v>http://dx.doi.org/10.1088/1742-6596/60/1/076</v>
      </c>
      <c r="BG376" t="s">
        <v>74</v>
      </c>
      <c r="BH376" t="s">
        <v>74</v>
      </c>
      <c r="BI376">
        <v>2</v>
      </c>
      <c r="BJ376" t="s">
        <v>5450</v>
      </c>
      <c r="BK376" t="s">
        <v>266</v>
      </c>
      <c r="BL376" t="s">
        <v>2494</v>
      </c>
      <c r="BM376" t="s">
        <v>6069</v>
      </c>
      <c r="BN376" t="s">
        <v>74</v>
      </c>
      <c r="BO376" t="s">
        <v>269</v>
      </c>
      <c r="BP376" t="s">
        <v>74</v>
      </c>
      <c r="BQ376" t="s">
        <v>74</v>
      </c>
      <c r="BR376" t="s">
        <v>100</v>
      </c>
      <c r="BS376" t="s">
        <v>6080</v>
      </c>
      <c r="BT376" t="str">
        <f>HYPERLINK("https%3A%2F%2Fwww.webofscience.com%2Fwos%2Fwoscc%2Ffull-record%2FWOS:000246508400076","View Full Record in Web of Science")</f>
        <v>View Full Record in Web of Science</v>
      </c>
    </row>
    <row r="377" spans="1:72" x14ac:dyDescent="0.15">
      <c r="A377" t="s">
        <v>72</v>
      </c>
      <c r="B377" t="s">
        <v>6081</v>
      </c>
      <c r="C377" t="s">
        <v>74</v>
      </c>
      <c r="D377" t="s">
        <v>74</v>
      </c>
      <c r="E377" t="s">
        <v>74</v>
      </c>
      <c r="F377" t="s">
        <v>6082</v>
      </c>
      <c r="G377" t="s">
        <v>74</v>
      </c>
      <c r="H377" t="s">
        <v>74</v>
      </c>
      <c r="I377" t="s">
        <v>6083</v>
      </c>
      <c r="J377" t="s">
        <v>6084</v>
      </c>
      <c r="K377" t="s">
        <v>74</v>
      </c>
      <c r="L377" t="s">
        <v>74</v>
      </c>
      <c r="M377" t="s">
        <v>78</v>
      </c>
      <c r="N377" t="s">
        <v>79</v>
      </c>
      <c r="O377" t="s">
        <v>74</v>
      </c>
      <c r="P377" t="s">
        <v>74</v>
      </c>
      <c r="Q377" t="s">
        <v>74</v>
      </c>
      <c r="R377" t="s">
        <v>74</v>
      </c>
      <c r="S377" t="s">
        <v>74</v>
      </c>
      <c r="T377" t="s">
        <v>6085</v>
      </c>
      <c r="U377" t="s">
        <v>6086</v>
      </c>
      <c r="V377" t="s">
        <v>6087</v>
      </c>
      <c r="W377" t="s">
        <v>6088</v>
      </c>
      <c r="X377" t="s">
        <v>6089</v>
      </c>
      <c r="Y377" t="s">
        <v>6090</v>
      </c>
      <c r="Z377" t="s">
        <v>6091</v>
      </c>
      <c r="AA377" t="s">
        <v>74</v>
      </c>
      <c r="AB377" t="s">
        <v>74</v>
      </c>
      <c r="AC377" t="s">
        <v>74</v>
      </c>
      <c r="AD377" t="s">
        <v>74</v>
      </c>
      <c r="AE377" t="s">
        <v>74</v>
      </c>
      <c r="AF377" t="s">
        <v>74</v>
      </c>
      <c r="AG377">
        <v>18</v>
      </c>
      <c r="AH377">
        <v>1</v>
      </c>
      <c r="AI377">
        <v>1</v>
      </c>
      <c r="AJ377">
        <v>2</v>
      </c>
      <c r="AK377">
        <v>8</v>
      </c>
      <c r="AL377" t="s">
        <v>838</v>
      </c>
      <c r="AM377" t="s">
        <v>678</v>
      </c>
      <c r="AN377" t="s">
        <v>839</v>
      </c>
      <c r="AO377" t="s">
        <v>6092</v>
      </c>
      <c r="AP377" t="s">
        <v>6093</v>
      </c>
      <c r="AQ377" t="s">
        <v>74</v>
      </c>
      <c r="AR377" t="s">
        <v>6094</v>
      </c>
      <c r="AS377" t="s">
        <v>6095</v>
      </c>
      <c r="AT377" t="s">
        <v>661</v>
      </c>
      <c r="AU377">
        <v>2007</v>
      </c>
      <c r="AV377">
        <v>17</v>
      </c>
      <c r="AW377">
        <v>1</v>
      </c>
      <c r="AX377" t="s">
        <v>74</v>
      </c>
      <c r="AY377" t="s">
        <v>74</v>
      </c>
      <c r="AZ377" t="s">
        <v>74</v>
      </c>
      <c r="BA377" t="s">
        <v>74</v>
      </c>
      <c r="BB377">
        <v>44</v>
      </c>
      <c r="BC377">
        <v>48</v>
      </c>
      <c r="BD377" t="s">
        <v>74</v>
      </c>
      <c r="BE377" t="s">
        <v>74</v>
      </c>
      <c r="BF377" t="s">
        <v>74</v>
      </c>
      <c r="BG377" t="s">
        <v>74</v>
      </c>
      <c r="BH377" t="s">
        <v>74</v>
      </c>
      <c r="BI377">
        <v>5</v>
      </c>
      <c r="BJ377" t="s">
        <v>6096</v>
      </c>
      <c r="BK377" t="s">
        <v>97</v>
      </c>
      <c r="BL377" t="s">
        <v>6097</v>
      </c>
      <c r="BM377" t="s">
        <v>6098</v>
      </c>
      <c r="BN377" t="s">
        <v>74</v>
      </c>
      <c r="BO377" t="s">
        <v>74</v>
      </c>
      <c r="BP377" t="s">
        <v>74</v>
      </c>
      <c r="BQ377" t="s">
        <v>74</v>
      </c>
      <c r="BR377" t="s">
        <v>100</v>
      </c>
      <c r="BS377" t="s">
        <v>6099</v>
      </c>
      <c r="BT377" t="str">
        <f>HYPERLINK("https%3A%2F%2Fwww.webofscience.com%2Fwos%2Fwoscc%2Ffull-record%2FWOS:000244614700008","View Full Record in Web of Science")</f>
        <v>View Full Record in Web of Science</v>
      </c>
    </row>
    <row r="378" spans="1:72" x14ac:dyDescent="0.15">
      <c r="A378" t="s">
        <v>72</v>
      </c>
      <c r="B378" t="s">
        <v>6100</v>
      </c>
      <c r="C378" t="s">
        <v>74</v>
      </c>
      <c r="D378" t="s">
        <v>74</v>
      </c>
      <c r="E378" t="s">
        <v>74</v>
      </c>
      <c r="F378" t="s">
        <v>6101</v>
      </c>
      <c r="G378" t="s">
        <v>74</v>
      </c>
      <c r="H378" t="s">
        <v>74</v>
      </c>
      <c r="I378" t="s">
        <v>6102</v>
      </c>
      <c r="J378" t="s">
        <v>6103</v>
      </c>
      <c r="K378" t="s">
        <v>74</v>
      </c>
      <c r="L378" t="s">
        <v>74</v>
      </c>
      <c r="M378" t="s">
        <v>78</v>
      </c>
      <c r="N378" t="s">
        <v>366</v>
      </c>
      <c r="O378" t="s">
        <v>74</v>
      </c>
      <c r="P378" t="s">
        <v>74</v>
      </c>
      <c r="Q378" t="s">
        <v>74</v>
      </c>
      <c r="R378" t="s">
        <v>74</v>
      </c>
      <c r="S378" t="s">
        <v>74</v>
      </c>
      <c r="T378" t="s">
        <v>6104</v>
      </c>
      <c r="U378" t="s">
        <v>6105</v>
      </c>
      <c r="V378" t="s">
        <v>6106</v>
      </c>
      <c r="W378" t="s">
        <v>6107</v>
      </c>
      <c r="X378" t="s">
        <v>6108</v>
      </c>
      <c r="Y378" t="s">
        <v>6109</v>
      </c>
      <c r="Z378" t="s">
        <v>6110</v>
      </c>
      <c r="AA378" t="s">
        <v>6111</v>
      </c>
      <c r="AB378" t="s">
        <v>6112</v>
      </c>
      <c r="AC378" t="s">
        <v>74</v>
      </c>
      <c r="AD378" t="s">
        <v>74</v>
      </c>
      <c r="AE378" t="s">
        <v>74</v>
      </c>
      <c r="AF378" t="s">
        <v>74</v>
      </c>
      <c r="AG378">
        <v>93</v>
      </c>
      <c r="AH378">
        <v>49</v>
      </c>
      <c r="AI378">
        <v>53</v>
      </c>
      <c r="AJ378">
        <v>0</v>
      </c>
      <c r="AK378">
        <v>32</v>
      </c>
      <c r="AL378" t="s">
        <v>817</v>
      </c>
      <c r="AM378" t="s">
        <v>818</v>
      </c>
      <c r="AN378" t="s">
        <v>819</v>
      </c>
      <c r="AO378" t="s">
        <v>6113</v>
      </c>
      <c r="AP378" t="s">
        <v>6114</v>
      </c>
      <c r="AQ378" t="s">
        <v>74</v>
      </c>
      <c r="AR378" t="s">
        <v>6115</v>
      </c>
      <c r="AS378" t="s">
        <v>6116</v>
      </c>
      <c r="AT378" t="s">
        <v>74</v>
      </c>
      <c r="AU378">
        <v>2007</v>
      </c>
      <c r="AV378">
        <v>75</v>
      </c>
      <c r="AW378">
        <v>1</v>
      </c>
      <c r="AX378" t="s">
        <v>74</v>
      </c>
      <c r="AY378" t="s">
        <v>74</v>
      </c>
      <c r="AZ378" t="s">
        <v>74</v>
      </c>
      <c r="BA378" t="s">
        <v>74</v>
      </c>
      <c r="BB378">
        <v>70</v>
      </c>
      <c r="BC378">
        <v>114</v>
      </c>
      <c r="BD378" t="s">
        <v>74</v>
      </c>
      <c r="BE378" t="s">
        <v>6117</v>
      </c>
      <c r="BF378" t="str">
        <f>HYPERLINK("http://dx.doi.org/10.1016/j.pocean.2007.05.004","http://dx.doi.org/10.1016/j.pocean.2007.05.004")</f>
        <v>http://dx.doi.org/10.1016/j.pocean.2007.05.004</v>
      </c>
      <c r="BG378" t="s">
        <v>74</v>
      </c>
      <c r="BH378" t="s">
        <v>74</v>
      </c>
      <c r="BI378">
        <v>45</v>
      </c>
      <c r="BJ378" t="s">
        <v>1260</v>
      </c>
      <c r="BK378" t="s">
        <v>97</v>
      </c>
      <c r="BL378" t="s">
        <v>1260</v>
      </c>
      <c r="BM378" t="s">
        <v>6118</v>
      </c>
      <c r="BN378" t="s">
        <v>74</v>
      </c>
      <c r="BO378" t="s">
        <v>74</v>
      </c>
      <c r="BP378" t="s">
        <v>74</v>
      </c>
      <c r="BQ378" t="s">
        <v>74</v>
      </c>
      <c r="BR378" t="s">
        <v>100</v>
      </c>
      <c r="BS378" t="s">
        <v>6119</v>
      </c>
      <c r="BT378" t="str">
        <f>HYPERLINK("https%3A%2F%2Fwww.webofscience.com%2Fwos%2Fwoscc%2Ffull-record%2FWOS:000250324100003","View Full Record in Web of Science")</f>
        <v>View Full Record in Web of Science</v>
      </c>
    </row>
    <row r="379" spans="1:72" x14ac:dyDescent="0.15">
      <c r="A379" t="s">
        <v>72</v>
      </c>
      <c r="B379" t="s">
        <v>6120</v>
      </c>
      <c r="C379" t="s">
        <v>74</v>
      </c>
      <c r="D379" t="s">
        <v>74</v>
      </c>
      <c r="E379" t="s">
        <v>74</v>
      </c>
      <c r="F379" t="s">
        <v>6121</v>
      </c>
      <c r="G379" t="s">
        <v>74</v>
      </c>
      <c r="H379" t="s">
        <v>74</v>
      </c>
      <c r="I379" t="s">
        <v>6122</v>
      </c>
      <c r="J379" t="s">
        <v>6103</v>
      </c>
      <c r="K379" t="s">
        <v>74</v>
      </c>
      <c r="L379" t="s">
        <v>74</v>
      </c>
      <c r="M379" t="s">
        <v>78</v>
      </c>
      <c r="N379" t="s">
        <v>366</v>
      </c>
      <c r="O379" t="s">
        <v>74</v>
      </c>
      <c r="P379" t="s">
        <v>74</v>
      </c>
      <c r="Q379" t="s">
        <v>74</v>
      </c>
      <c r="R379" t="s">
        <v>74</v>
      </c>
      <c r="S379" t="s">
        <v>74</v>
      </c>
      <c r="T379" t="s">
        <v>6123</v>
      </c>
      <c r="U379" t="s">
        <v>6124</v>
      </c>
      <c r="V379" t="s">
        <v>6125</v>
      </c>
      <c r="W379" t="s">
        <v>6126</v>
      </c>
      <c r="X379" t="s">
        <v>6127</v>
      </c>
      <c r="Y379" t="s">
        <v>6128</v>
      </c>
      <c r="Z379" t="s">
        <v>6129</v>
      </c>
      <c r="AA379" t="s">
        <v>6130</v>
      </c>
      <c r="AB379" t="s">
        <v>6131</v>
      </c>
      <c r="AC379" t="s">
        <v>6132</v>
      </c>
      <c r="AD379" t="s">
        <v>158</v>
      </c>
      <c r="AE379" t="s">
        <v>74</v>
      </c>
      <c r="AF379" t="s">
        <v>74</v>
      </c>
      <c r="AG379">
        <v>405</v>
      </c>
      <c r="AH379">
        <v>403</v>
      </c>
      <c r="AI379">
        <v>431</v>
      </c>
      <c r="AJ379">
        <v>3</v>
      </c>
      <c r="AK379">
        <v>117</v>
      </c>
      <c r="AL379" t="s">
        <v>817</v>
      </c>
      <c r="AM379" t="s">
        <v>818</v>
      </c>
      <c r="AN379" t="s">
        <v>819</v>
      </c>
      <c r="AO379" t="s">
        <v>6113</v>
      </c>
      <c r="AP379" t="s">
        <v>74</v>
      </c>
      <c r="AQ379" t="s">
        <v>74</v>
      </c>
      <c r="AR379" t="s">
        <v>6115</v>
      </c>
      <c r="AS379" t="s">
        <v>6116</v>
      </c>
      <c r="AT379" t="s">
        <v>74</v>
      </c>
      <c r="AU379">
        <v>2007</v>
      </c>
      <c r="AV379">
        <v>75</v>
      </c>
      <c r="AW379">
        <v>4</v>
      </c>
      <c r="AX379" t="s">
        <v>74</v>
      </c>
      <c r="AY379" t="s">
        <v>74</v>
      </c>
      <c r="AZ379" t="s">
        <v>74</v>
      </c>
      <c r="BA379" t="s">
        <v>74</v>
      </c>
      <c r="BB379">
        <v>603</v>
      </c>
      <c r="BC379">
        <v>674</v>
      </c>
      <c r="BD379" t="s">
        <v>74</v>
      </c>
      <c r="BE379" t="s">
        <v>6133</v>
      </c>
      <c r="BF379" t="str">
        <f>HYPERLINK("http://dx.doi.org/10.1016/j.pocean.2007.05.005","http://dx.doi.org/10.1016/j.pocean.2007.05.005")</f>
        <v>http://dx.doi.org/10.1016/j.pocean.2007.05.005</v>
      </c>
      <c r="BG379" t="s">
        <v>74</v>
      </c>
      <c r="BH379" t="s">
        <v>74</v>
      </c>
      <c r="BI379">
        <v>72</v>
      </c>
      <c r="BJ379" t="s">
        <v>1260</v>
      </c>
      <c r="BK379" t="s">
        <v>97</v>
      </c>
      <c r="BL379" t="s">
        <v>1260</v>
      </c>
      <c r="BM379" t="s">
        <v>6134</v>
      </c>
      <c r="BN379" t="s">
        <v>74</v>
      </c>
      <c r="BO379" t="s">
        <v>3355</v>
      </c>
      <c r="BP379" t="s">
        <v>74</v>
      </c>
      <c r="BQ379" t="s">
        <v>74</v>
      </c>
      <c r="BR379" t="s">
        <v>100</v>
      </c>
      <c r="BS379" t="s">
        <v>6135</v>
      </c>
      <c r="BT379" t="str">
        <f>HYPERLINK("https%3A%2F%2Fwww.webofscience.com%2Fwos%2Fwoscc%2Ffull-record%2FWOS:000252176800001","View Full Record in Web of Science")</f>
        <v>View Full Record in Web of Science</v>
      </c>
    </row>
    <row r="380" spans="1:72" x14ac:dyDescent="0.15">
      <c r="A380" t="s">
        <v>72</v>
      </c>
      <c r="B380" t="s">
        <v>6136</v>
      </c>
      <c r="C380" t="s">
        <v>74</v>
      </c>
      <c r="D380" t="s">
        <v>74</v>
      </c>
      <c r="E380" t="s">
        <v>74</v>
      </c>
      <c r="F380" t="s">
        <v>6137</v>
      </c>
      <c r="G380" t="s">
        <v>74</v>
      </c>
      <c r="H380" t="s">
        <v>74</v>
      </c>
      <c r="I380" t="s">
        <v>6138</v>
      </c>
      <c r="J380" t="s">
        <v>6103</v>
      </c>
      <c r="K380" t="s">
        <v>74</v>
      </c>
      <c r="L380" t="s">
        <v>74</v>
      </c>
      <c r="M380" t="s">
        <v>78</v>
      </c>
      <c r="N380" t="s">
        <v>366</v>
      </c>
      <c r="O380" t="s">
        <v>74</v>
      </c>
      <c r="P380" t="s">
        <v>74</v>
      </c>
      <c r="Q380" t="s">
        <v>74</v>
      </c>
      <c r="R380" t="s">
        <v>74</v>
      </c>
      <c r="S380" t="s">
        <v>74</v>
      </c>
      <c r="T380" t="s">
        <v>6139</v>
      </c>
      <c r="U380" t="s">
        <v>6140</v>
      </c>
      <c r="V380" t="s">
        <v>6141</v>
      </c>
      <c r="W380" t="s">
        <v>6142</v>
      </c>
      <c r="X380" t="s">
        <v>6143</v>
      </c>
      <c r="Y380" t="s">
        <v>6144</v>
      </c>
      <c r="Z380" t="s">
        <v>6145</v>
      </c>
      <c r="AA380" t="s">
        <v>6146</v>
      </c>
      <c r="AB380" t="s">
        <v>6147</v>
      </c>
      <c r="AC380" t="s">
        <v>74</v>
      </c>
      <c r="AD380" t="s">
        <v>74</v>
      </c>
      <c r="AE380" t="s">
        <v>74</v>
      </c>
      <c r="AF380" t="s">
        <v>74</v>
      </c>
      <c r="AG380">
        <v>168</v>
      </c>
      <c r="AH380">
        <v>89</v>
      </c>
      <c r="AI380">
        <v>98</v>
      </c>
      <c r="AJ380">
        <v>0</v>
      </c>
      <c r="AK380">
        <v>32</v>
      </c>
      <c r="AL380" t="s">
        <v>817</v>
      </c>
      <c r="AM380" t="s">
        <v>818</v>
      </c>
      <c r="AN380" t="s">
        <v>819</v>
      </c>
      <c r="AO380" t="s">
        <v>6113</v>
      </c>
      <c r="AP380" t="s">
        <v>6114</v>
      </c>
      <c r="AQ380" t="s">
        <v>74</v>
      </c>
      <c r="AR380" t="s">
        <v>6115</v>
      </c>
      <c r="AS380" t="s">
        <v>6116</v>
      </c>
      <c r="AT380" t="s">
        <v>74</v>
      </c>
      <c r="AU380">
        <v>2007</v>
      </c>
      <c r="AV380">
        <v>75</v>
      </c>
      <c r="AW380">
        <v>4</v>
      </c>
      <c r="AX380" t="s">
        <v>74</v>
      </c>
      <c r="AY380" t="s">
        <v>74</v>
      </c>
      <c r="AZ380" t="s">
        <v>74</v>
      </c>
      <c r="BA380" t="s">
        <v>74</v>
      </c>
      <c r="BB380">
        <v>675</v>
      </c>
      <c r="BC380">
        <v>750</v>
      </c>
      <c r="BD380" t="s">
        <v>74</v>
      </c>
      <c r="BE380" t="s">
        <v>6148</v>
      </c>
      <c r="BF380" t="str">
        <f>HYPERLINK("http://dx.doi.org/10.1016/j.pocean.2007.02.008","http://dx.doi.org/10.1016/j.pocean.2007.02.008")</f>
        <v>http://dx.doi.org/10.1016/j.pocean.2007.02.008</v>
      </c>
      <c r="BG380" t="s">
        <v>74</v>
      </c>
      <c r="BH380" t="s">
        <v>74</v>
      </c>
      <c r="BI380">
        <v>76</v>
      </c>
      <c r="BJ380" t="s">
        <v>1260</v>
      </c>
      <c r="BK380" t="s">
        <v>97</v>
      </c>
      <c r="BL380" t="s">
        <v>1260</v>
      </c>
      <c r="BM380" t="s">
        <v>6134</v>
      </c>
      <c r="BN380" t="s">
        <v>74</v>
      </c>
      <c r="BO380" t="s">
        <v>74</v>
      </c>
      <c r="BP380" t="s">
        <v>74</v>
      </c>
      <c r="BQ380" t="s">
        <v>74</v>
      </c>
      <c r="BR380" t="s">
        <v>100</v>
      </c>
      <c r="BS380" t="s">
        <v>6149</v>
      </c>
      <c r="BT380" t="str">
        <f>HYPERLINK("https%3A%2F%2Fwww.webofscience.com%2Fwos%2Fwoscc%2Ffull-record%2FWOS:000252176800002","View Full Record in Web of Science")</f>
        <v>View Full Record in Web of Science</v>
      </c>
    </row>
    <row r="381" spans="1:72" x14ac:dyDescent="0.15">
      <c r="A381" t="s">
        <v>72</v>
      </c>
      <c r="B381" t="s">
        <v>6150</v>
      </c>
      <c r="C381" t="s">
        <v>74</v>
      </c>
      <c r="D381" t="s">
        <v>74</v>
      </c>
      <c r="E381" t="s">
        <v>74</v>
      </c>
      <c r="F381" t="s">
        <v>6151</v>
      </c>
      <c r="G381" t="s">
        <v>74</v>
      </c>
      <c r="H381" t="s">
        <v>74</v>
      </c>
      <c r="I381" t="s">
        <v>6152</v>
      </c>
      <c r="J381" t="s">
        <v>6103</v>
      </c>
      <c r="K381" t="s">
        <v>74</v>
      </c>
      <c r="L381" t="s">
        <v>74</v>
      </c>
      <c r="M381" t="s">
        <v>78</v>
      </c>
      <c r="N381" t="s">
        <v>366</v>
      </c>
      <c r="O381" t="s">
        <v>74</v>
      </c>
      <c r="P381" t="s">
        <v>74</v>
      </c>
      <c r="Q381" t="s">
        <v>74</v>
      </c>
      <c r="R381" t="s">
        <v>74</v>
      </c>
      <c r="S381" t="s">
        <v>74</v>
      </c>
      <c r="T381" t="s">
        <v>6153</v>
      </c>
      <c r="U381" t="s">
        <v>6154</v>
      </c>
      <c r="V381" t="s">
        <v>6155</v>
      </c>
      <c r="W381" t="s">
        <v>6156</v>
      </c>
      <c r="X381" t="s">
        <v>6157</v>
      </c>
      <c r="Y381" t="s">
        <v>6158</v>
      </c>
      <c r="Z381" t="s">
        <v>6159</v>
      </c>
      <c r="AA381" t="s">
        <v>6160</v>
      </c>
      <c r="AB381" t="s">
        <v>6161</v>
      </c>
      <c r="AC381" t="s">
        <v>6162</v>
      </c>
      <c r="AD381" t="s">
        <v>1254</v>
      </c>
      <c r="AE381" t="s">
        <v>74</v>
      </c>
      <c r="AF381" t="s">
        <v>74</v>
      </c>
      <c r="AG381">
        <v>74</v>
      </c>
      <c r="AH381">
        <v>13</v>
      </c>
      <c r="AI381">
        <v>14</v>
      </c>
      <c r="AJ381">
        <v>2</v>
      </c>
      <c r="AK381">
        <v>13</v>
      </c>
      <c r="AL381" t="s">
        <v>817</v>
      </c>
      <c r="AM381" t="s">
        <v>818</v>
      </c>
      <c r="AN381" t="s">
        <v>819</v>
      </c>
      <c r="AO381" t="s">
        <v>6113</v>
      </c>
      <c r="AP381" t="s">
        <v>74</v>
      </c>
      <c r="AQ381" t="s">
        <v>74</v>
      </c>
      <c r="AR381" t="s">
        <v>6115</v>
      </c>
      <c r="AS381" t="s">
        <v>6116</v>
      </c>
      <c r="AT381" t="s">
        <v>74</v>
      </c>
      <c r="AU381">
        <v>2007</v>
      </c>
      <c r="AV381">
        <v>74</v>
      </c>
      <c r="AW381">
        <v>1</v>
      </c>
      <c r="AX381" t="s">
        <v>74</v>
      </c>
      <c r="AY381" t="s">
        <v>74</v>
      </c>
      <c r="AZ381" t="s">
        <v>74</v>
      </c>
      <c r="BA381" t="s">
        <v>74</v>
      </c>
      <c r="BB381">
        <v>71</v>
      </c>
      <c r="BC381">
        <v>94</v>
      </c>
      <c r="BD381" t="s">
        <v>74</v>
      </c>
      <c r="BE381" t="s">
        <v>6163</v>
      </c>
      <c r="BF381" t="str">
        <f>HYPERLINK("http://dx.doi.org/10.1016/j.pocean.2007.02.001","http://dx.doi.org/10.1016/j.pocean.2007.02.001")</f>
        <v>http://dx.doi.org/10.1016/j.pocean.2007.02.001</v>
      </c>
      <c r="BG381" t="s">
        <v>74</v>
      </c>
      <c r="BH381" t="s">
        <v>74</v>
      </c>
      <c r="BI381">
        <v>24</v>
      </c>
      <c r="BJ381" t="s">
        <v>1260</v>
      </c>
      <c r="BK381" t="s">
        <v>97</v>
      </c>
      <c r="BL381" t="s">
        <v>1260</v>
      </c>
      <c r="BM381" t="s">
        <v>6164</v>
      </c>
      <c r="BN381" t="s">
        <v>74</v>
      </c>
      <c r="BO381" t="s">
        <v>1314</v>
      </c>
      <c r="BP381" t="s">
        <v>74</v>
      </c>
      <c r="BQ381" t="s">
        <v>74</v>
      </c>
      <c r="BR381" t="s">
        <v>100</v>
      </c>
      <c r="BS381" t="s">
        <v>6165</v>
      </c>
      <c r="BT381" t="str">
        <f>HYPERLINK("https%3A%2F%2Fwww.webofscience.com%2Fwos%2Fwoscc%2Ffull-record%2FWOS:000248297100003","View Full Record in Web of Science")</f>
        <v>View Full Record in Web of Science</v>
      </c>
    </row>
    <row r="382" spans="1:72" x14ac:dyDescent="0.15">
      <c r="A382" t="s">
        <v>72</v>
      </c>
      <c r="B382" t="s">
        <v>6166</v>
      </c>
      <c r="C382" t="s">
        <v>74</v>
      </c>
      <c r="D382" t="s">
        <v>74</v>
      </c>
      <c r="E382" t="s">
        <v>74</v>
      </c>
      <c r="F382" t="s">
        <v>6167</v>
      </c>
      <c r="G382" t="s">
        <v>74</v>
      </c>
      <c r="H382" t="s">
        <v>74</v>
      </c>
      <c r="I382" t="s">
        <v>6168</v>
      </c>
      <c r="J382" t="s">
        <v>6103</v>
      </c>
      <c r="K382" t="s">
        <v>74</v>
      </c>
      <c r="L382" t="s">
        <v>74</v>
      </c>
      <c r="M382" t="s">
        <v>78</v>
      </c>
      <c r="N382" t="s">
        <v>366</v>
      </c>
      <c r="O382" t="s">
        <v>74</v>
      </c>
      <c r="P382" t="s">
        <v>74</v>
      </c>
      <c r="Q382" t="s">
        <v>74</v>
      </c>
      <c r="R382" t="s">
        <v>74</v>
      </c>
      <c r="S382" t="s">
        <v>74</v>
      </c>
      <c r="T382" t="s">
        <v>6169</v>
      </c>
      <c r="U382" t="s">
        <v>6170</v>
      </c>
      <c r="V382" t="s">
        <v>6171</v>
      </c>
      <c r="W382" t="s">
        <v>6172</v>
      </c>
      <c r="X382" t="s">
        <v>6173</v>
      </c>
      <c r="Y382" t="s">
        <v>6174</v>
      </c>
      <c r="Z382" t="s">
        <v>6175</v>
      </c>
      <c r="AA382" t="s">
        <v>74</v>
      </c>
      <c r="AB382" t="s">
        <v>74</v>
      </c>
      <c r="AC382" t="s">
        <v>6176</v>
      </c>
      <c r="AD382" t="s">
        <v>158</v>
      </c>
      <c r="AE382" t="s">
        <v>74</v>
      </c>
      <c r="AF382" t="s">
        <v>74</v>
      </c>
      <c r="AG382">
        <v>30</v>
      </c>
      <c r="AH382">
        <v>15</v>
      </c>
      <c r="AI382">
        <v>16</v>
      </c>
      <c r="AJ382">
        <v>0</v>
      </c>
      <c r="AK382">
        <v>7</v>
      </c>
      <c r="AL382" t="s">
        <v>817</v>
      </c>
      <c r="AM382" t="s">
        <v>818</v>
      </c>
      <c r="AN382" t="s">
        <v>819</v>
      </c>
      <c r="AO382" t="s">
        <v>6113</v>
      </c>
      <c r="AP382" t="s">
        <v>74</v>
      </c>
      <c r="AQ382" t="s">
        <v>74</v>
      </c>
      <c r="AR382" t="s">
        <v>6115</v>
      </c>
      <c r="AS382" t="s">
        <v>6116</v>
      </c>
      <c r="AT382" t="s">
        <v>74</v>
      </c>
      <c r="AU382">
        <v>2007</v>
      </c>
      <c r="AV382">
        <v>73</v>
      </c>
      <c r="AW382" t="s">
        <v>1283</v>
      </c>
      <c r="AX382" t="s">
        <v>74</v>
      </c>
      <c r="AY382" t="s">
        <v>74</v>
      </c>
      <c r="AZ382" t="s">
        <v>74</v>
      </c>
      <c r="BA382" t="s">
        <v>74</v>
      </c>
      <c r="BB382">
        <v>296</v>
      </c>
      <c r="BC382">
        <v>310</v>
      </c>
      <c r="BD382" t="s">
        <v>74</v>
      </c>
      <c r="BE382" t="s">
        <v>6177</v>
      </c>
      <c r="BF382" t="str">
        <f>HYPERLINK("http://dx.doi.org/10.1016/j.pocean.2006.07.010","http://dx.doi.org/10.1016/j.pocean.2006.07.010")</f>
        <v>http://dx.doi.org/10.1016/j.pocean.2006.07.010</v>
      </c>
      <c r="BG382" t="s">
        <v>74</v>
      </c>
      <c r="BH382" t="s">
        <v>74</v>
      </c>
      <c r="BI382">
        <v>15</v>
      </c>
      <c r="BJ382" t="s">
        <v>1260</v>
      </c>
      <c r="BK382" t="s">
        <v>97</v>
      </c>
      <c r="BL382" t="s">
        <v>1260</v>
      </c>
      <c r="BM382" t="s">
        <v>6178</v>
      </c>
      <c r="BN382" t="s">
        <v>74</v>
      </c>
      <c r="BO382" t="s">
        <v>3809</v>
      </c>
      <c r="BP382" t="s">
        <v>74</v>
      </c>
      <c r="BQ382" t="s">
        <v>74</v>
      </c>
      <c r="BR382" t="s">
        <v>100</v>
      </c>
      <c r="BS382" t="s">
        <v>6179</v>
      </c>
      <c r="BT382" t="str">
        <f>HYPERLINK("https%3A%2F%2Fwww.webofscience.com%2Fwos%2Fwoscc%2Ffull-record%2FWOS:000248333000006","View Full Record in Web of Science")</f>
        <v>View Full Record in Web of Science</v>
      </c>
    </row>
    <row r="383" spans="1:72" x14ac:dyDescent="0.15">
      <c r="A383" t="s">
        <v>72</v>
      </c>
      <c r="B383" t="s">
        <v>6180</v>
      </c>
      <c r="C383" t="s">
        <v>74</v>
      </c>
      <c r="D383" t="s">
        <v>74</v>
      </c>
      <c r="E383" t="s">
        <v>74</v>
      </c>
      <c r="F383" t="s">
        <v>6181</v>
      </c>
      <c r="G383" t="s">
        <v>74</v>
      </c>
      <c r="H383" t="s">
        <v>74</v>
      </c>
      <c r="I383" t="s">
        <v>6182</v>
      </c>
      <c r="J383" t="s">
        <v>6103</v>
      </c>
      <c r="K383" t="s">
        <v>74</v>
      </c>
      <c r="L383" t="s">
        <v>74</v>
      </c>
      <c r="M383" t="s">
        <v>78</v>
      </c>
      <c r="N383" t="s">
        <v>366</v>
      </c>
      <c r="O383" t="s">
        <v>74</v>
      </c>
      <c r="P383" t="s">
        <v>74</v>
      </c>
      <c r="Q383" t="s">
        <v>74</v>
      </c>
      <c r="R383" t="s">
        <v>74</v>
      </c>
      <c r="S383" t="s">
        <v>74</v>
      </c>
      <c r="T383" t="s">
        <v>6183</v>
      </c>
      <c r="U383" t="s">
        <v>6184</v>
      </c>
      <c r="V383" t="s">
        <v>6185</v>
      </c>
      <c r="W383" t="s">
        <v>6186</v>
      </c>
      <c r="X383" t="s">
        <v>6187</v>
      </c>
      <c r="Y383" t="s">
        <v>6188</v>
      </c>
      <c r="Z383" t="s">
        <v>6189</v>
      </c>
      <c r="AA383" t="s">
        <v>6190</v>
      </c>
      <c r="AB383" t="s">
        <v>6191</v>
      </c>
      <c r="AC383" t="s">
        <v>74</v>
      </c>
      <c r="AD383" t="s">
        <v>74</v>
      </c>
      <c r="AE383" t="s">
        <v>74</v>
      </c>
      <c r="AF383" t="s">
        <v>74</v>
      </c>
      <c r="AG383">
        <v>244</v>
      </c>
      <c r="AH383">
        <v>356</v>
      </c>
      <c r="AI383">
        <v>385</v>
      </c>
      <c r="AJ383">
        <v>1</v>
      </c>
      <c r="AK383">
        <v>143</v>
      </c>
      <c r="AL383" t="s">
        <v>817</v>
      </c>
      <c r="AM383" t="s">
        <v>818</v>
      </c>
      <c r="AN383" t="s">
        <v>819</v>
      </c>
      <c r="AO383" t="s">
        <v>6113</v>
      </c>
      <c r="AP383" t="s">
        <v>6114</v>
      </c>
      <c r="AQ383" t="s">
        <v>74</v>
      </c>
      <c r="AR383" t="s">
        <v>6115</v>
      </c>
      <c r="AS383" t="s">
        <v>6116</v>
      </c>
      <c r="AT383" t="s">
        <v>74</v>
      </c>
      <c r="AU383">
        <v>2007</v>
      </c>
      <c r="AV383">
        <v>72</v>
      </c>
      <c r="AW383">
        <v>4</v>
      </c>
      <c r="AX383" t="s">
        <v>74</v>
      </c>
      <c r="AY383" t="s">
        <v>74</v>
      </c>
      <c r="AZ383" t="s">
        <v>74</v>
      </c>
      <c r="BA383" t="s">
        <v>74</v>
      </c>
      <c r="BB383">
        <v>276</v>
      </c>
      <c r="BC383">
        <v>312</v>
      </c>
      <c r="BD383" t="s">
        <v>74</v>
      </c>
      <c r="BE383" t="s">
        <v>6192</v>
      </c>
      <c r="BF383" t="str">
        <f>HYPERLINK("http://dx.doi.org/10.1016/j.pocean.2006.10.007","http://dx.doi.org/10.1016/j.pocean.2006.10.007")</f>
        <v>http://dx.doi.org/10.1016/j.pocean.2006.10.007</v>
      </c>
      <c r="BG383" t="s">
        <v>74</v>
      </c>
      <c r="BH383" t="s">
        <v>74</v>
      </c>
      <c r="BI383">
        <v>37</v>
      </c>
      <c r="BJ383" t="s">
        <v>1260</v>
      </c>
      <c r="BK383" t="s">
        <v>97</v>
      </c>
      <c r="BL383" t="s">
        <v>1260</v>
      </c>
      <c r="BM383" t="s">
        <v>6193</v>
      </c>
      <c r="BN383" t="s">
        <v>74</v>
      </c>
      <c r="BO383" t="s">
        <v>6194</v>
      </c>
      <c r="BP383" t="s">
        <v>74</v>
      </c>
      <c r="BQ383" t="s">
        <v>74</v>
      </c>
      <c r="BR383" t="s">
        <v>100</v>
      </c>
      <c r="BS383" t="s">
        <v>6195</v>
      </c>
      <c r="BT383" t="str">
        <f>HYPERLINK("https%3A%2F%2Fwww.webofscience.com%2Fwos%2Fwoscc%2Ffull-record%2FWOS:000245798400001","View Full Record in Web of Science")</f>
        <v>View Full Record in Web of Science</v>
      </c>
    </row>
    <row r="384" spans="1:72" x14ac:dyDescent="0.15">
      <c r="A384" t="s">
        <v>213</v>
      </c>
      <c r="B384" t="s">
        <v>6196</v>
      </c>
      <c r="C384" t="s">
        <v>74</v>
      </c>
      <c r="D384" t="s">
        <v>6197</v>
      </c>
      <c r="E384" t="s">
        <v>74</v>
      </c>
      <c r="F384" t="s">
        <v>6198</v>
      </c>
      <c r="G384" t="s">
        <v>74</v>
      </c>
      <c r="H384" t="s">
        <v>74</v>
      </c>
      <c r="I384" t="s">
        <v>6199</v>
      </c>
      <c r="J384" t="s">
        <v>6200</v>
      </c>
      <c r="K384" t="s">
        <v>74</v>
      </c>
      <c r="L384" t="s">
        <v>74</v>
      </c>
      <c r="M384" t="s">
        <v>78</v>
      </c>
      <c r="N384" t="s">
        <v>219</v>
      </c>
      <c r="O384" t="s">
        <v>74</v>
      </c>
      <c r="P384" t="s">
        <v>74</v>
      </c>
      <c r="Q384" t="s">
        <v>74</v>
      </c>
      <c r="R384" t="s">
        <v>74</v>
      </c>
      <c r="S384" t="s">
        <v>74</v>
      </c>
      <c r="T384" t="s">
        <v>74</v>
      </c>
      <c r="U384" t="s">
        <v>74</v>
      </c>
      <c r="V384" t="s">
        <v>74</v>
      </c>
      <c r="W384" t="s">
        <v>6201</v>
      </c>
      <c r="X384" t="s">
        <v>6202</v>
      </c>
      <c r="Y384" t="s">
        <v>6203</v>
      </c>
      <c r="Z384" t="s">
        <v>74</v>
      </c>
      <c r="AA384" t="s">
        <v>74</v>
      </c>
      <c r="AB384" t="s">
        <v>74</v>
      </c>
      <c r="AC384" t="s">
        <v>74</v>
      </c>
      <c r="AD384" t="s">
        <v>74</v>
      </c>
      <c r="AE384" t="s">
        <v>74</v>
      </c>
      <c r="AF384" t="s">
        <v>74</v>
      </c>
      <c r="AG384">
        <v>35</v>
      </c>
      <c r="AH384">
        <v>9</v>
      </c>
      <c r="AI384">
        <v>9</v>
      </c>
      <c r="AJ384">
        <v>0</v>
      </c>
      <c r="AK384">
        <v>3</v>
      </c>
      <c r="AL384" t="s">
        <v>6204</v>
      </c>
      <c r="AM384" t="s">
        <v>6205</v>
      </c>
      <c r="AN384" t="s">
        <v>6206</v>
      </c>
      <c r="AO384" t="s">
        <v>74</v>
      </c>
      <c r="AP384" t="s">
        <v>74</v>
      </c>
      <c r="AQ384" t="s">
        <v>6207</v>
      </c>
      <c r="AR384" t="s">
        <v>74</v>
      </c>
      <c r="AS384" t="s">
        <v>74</v>
      </c>
      <c r="AT384" t="s">
        <v>74</v>
      </c>
      <c r="AU384">
        <v>2007</v>
      </c>
      <c r="AV384" t="s">
        <v>74</v>
      </c>
      <c r="AW384" t="s">
        <v>74</v>
      </c>
      <c r="AX384" t="s">
        <v>74</v>
      </c>
      <c r="AY384" t="s">
        <v>74</v>
      </c>
      <c r="AZ384" t="s">
        <v>74</v>
      </c>
      <c r="BA384" t="s">
        <v>74</v>
      </c>
      <c r="BB384">
        <v>123</v>
      </c>
      <c r="BC384">
        <v>146</v>
      </c>
      <c r="BD384" t="s">
        <v>74</v>
      </c>
      <c r="BE384" t="s">
        <v>6208</v>
      </c>
      <c r="BF384" t="str">
        <f>HYPERLINK("http://dx.doi.org/10.1079/9781845932473.0123","http://dx.doi.org/10.1079/9781845932473.0123")</f>
        <v>http://dx.doi.org/10.1079/9781845932473.0123</v>
      </c>
      <c r="BG384" t="s">
        <v>6209</v>
      </c>
      <c r="BH384" t="s">
        <v>74</v>
      </c>
      <c r="BI384">
        <v>24</v>
      </c>
      <c r="BJ384" t="s">
        <v>6210</v>
      </c>
      <c r="BK384" t="s">
        <v>6211</v>
      </c>
      <c r="BL384" t="s">
        <v>6212</v>
      </c>
      <c r="BM384" t="s">
        <v>6213</v>
      </c>
      <c r="BN384" t="s">
        <v>74</v>
      </c>
      <c r="BO384" t="s">
        <v>74</v>
      </c>
      <c r="BP384" t="s">
        <v>74</v>
      </c>
      <c r="BQ384" t="s">
        <v>74</v>
      </c>
      <c r="BR384" t="s">
        <v>100</v>
      </c>
      <c r="BS384" t="s">
        <v>6214</v>
      </c>
      <c r="BT384" t="str">
        <f>HYPERLINK("https%3A%2F%2Fwww.webofscience.com%2Fwos%2Fwoscc%2Ffull-record%2FWOS:000293002400012","View Full Record in Web of Science")</f>
        <v>View Full Record in Web of Science</v>
      </c>
    </row>
    <row r="385" spans="1:72" x14ac:dyDescent="0.15">
      <c r="A385" t="s">
        <v>213</v>
      </c>
      <c r="B385" t="s">
        <v>6215</v>
      </c>
      <c r="C385" t="s">
        <v>74</v>
      </c>
      <c r="D385" t="s">
        <v>6197</v>
      </c>
      <c r="E385" t="s">
        <v>74</v>
      </c>
      <c r="F385" t="s">
        <v>6216</v>
      </c>
      <c r="G385" t="s">
        <v>74</v>
      </c>
      <c r="H385" t="s">
        <v>74</v>
      </c>
      <c r="I385" t="s">
        <v>6217</v>
      </c>
      <c r="J385" t="s">
        <v>6200</v>
      </c>
      <c r="K385" t="s">
        <v>74</v>
      </c>
      <c r="L385" t="s">
        <v>74</v>
      </c>
      <c r="M385" t="s">
        <v>78</v>
      </c>
      <c r="N385" t="s">
        <v>925</v>
      </c>
      <c r="O385" t="s">
        <v>74</v>
      </c>
      <c r="P385" t="s">
        <v>74</v>
      </c>
      <c r="Q385" t="s">
        <v>74</v>
      </c>
      <c r="R385" t="s">
        <v>74</v>
      </c>
      <c r="S385" t="s">
        <v>74</v>
      </c>
      <c r="T385" t="s">
        <v>74</v>
      </c>
      <c r="U385" t="s">
        <v>74</v>
      </c>
      <c r="V385" t="s">
        <v>74</v>
      </c>
      <c r="W385" t="s">
        <v>5715</v>
      </c>
      <c r="X385" t="s">
        <v>917</v>
      </c>
      <c r="Y385" t="s">
        <v>6218</v>
      </c>
      <c r="Z385" t="s">
        <v>74</v>
      </c>
      <c r="AA385" t="s">
        <v>74</v>
      </c>
      <c r="AB385" t="s">
        <v>74</v>
      </c>
      <c r="AC385" t="s">
        <v>74</v>
      </c>
      <c r="AD385" t="s">
        <v>74</v>
      </c>
      <c r="AE385" t="s">
        <v>74</v>
      </c>
      <c r="AF385" t="s">
        <v>74</v>
      </c>
      <c r="AG385">
        <v>0</v>
      </c>
      <c r="AH385">
        <v>1</v>
      </c>
      <c r="AI385">
        <v>1</v>
      </c>
      <c r="AJ385">
        <v>0</v>
      </c>
      <c r="AK385">
        <v>0</v>
      </c>
      <c r="AL385" t="s">
        <v>6204</v>
      </c>
      <c r="AM385" t="s">
        <v>6205</v>
      </c>
      <c r="AN385" t="s">
        <v>6206</v>
      </c>
      <c r="AO385" t="s">
        <v>74</v>
      </c>
      <c r="AP385" t="s">
        <v>74</v>
      </c>
      <c r="AQ385" t="s">
        <v>6207</v>
      </c>
      <c r="AR385" t="s">
        <v>74</v>
      </c>
      <c r="AS385" t="s">
        <v>74</v>
      </c>
      <c r="AT385" t="s">
        <v>74</v>
      </c>
      <c r="AU385">
        <v>2007</v>
      </c>
      <c r="AV385" t="s">
        <v>74</v>
      </c>
      <c r="AW385" t="s">
        <v>74</v>
      </c>
      <c r="AX385" t="s">
        <v>74</v>
      </c>
      <c r="AY385" t="s">
        <v>74</v>
      </c>
      <c r="AZ385" t="s">
        <v>74</v>
      </c>
      <c r="BA385" t="s">
        <v>74</v>
      </c>
      <c r="BB385">
        <v>147</v>
      </c>
      <c r="BC385">
        <v>148</v>
      </c>
      <c r="BD385" t="s">
        <v>74</v>
      </c>
      <c r="BE385" t="s">
        <v>74</v>
      </c>
      <c r="BF385" t="s">
        <v>74</v>
      </c>
      <c r="BG385" t="s">
        <v>6209</v>
      </c>
      <c r="BH385" t="s">
        <v>74</v>
      </c>
      <c r="BI385">
        <v>2</v>
      </c>
      <c r="BJ385" t="s">
        <v>6210</v>
      </c>
      <c r="BK385" t="s">
        <v>6211</v>
      </c>
      <c r="BL385" t="s">
        <v>6212</v>
      </c>
      <c r="BM385" t="s">
        <v>6213</v>
      </c>
      <c r="BN385" t="s">
        <v>74</v>
      </c>
      <c r="BO385" t="s">
        <v>74</v>
      </c>
      <c r="BP385" t="s">
        <v>74</v>
      </c>
      <c r="BQ385" t="s">
        <v>74</v>
      </c>
      <c r="BR385" t="s">
        <v>100</v>
      </c>
      <c r="BS385" t="s">
        <v>6219</v>
      </c>
      <c r="BT385" t="str">
        <f>HYPERLINK("https%3A%2F%2Fwww.webofscience.com%2Fwos%2Fwoscc%2Ffull-record%2FWOS:000293002400013","View Full Record in Web of Science")</f>
        <v>View Full Record in Web of Science</v>
      </c>
    </row>
    <row r="386" spans="1:72" x14ac:dyDescent="0.15">
      <c r="A386" t="s">
        <v>213</v>
      </c>
      <c r="B386" t="s">
        <v>6220</v>
      </c>
      <c r="C386" t="s">
        <v>74</v>
      </c>
      <c r="D386" t="s">
        <v>6197</v>
      </c>
      <c r="E386" t="s">
        <v>74</v>
      </c>
      <c r="F386" t="s">
        <v>6221</v>
      </c>
      <c r="G386" t="s">
        <v>74</v>
      </c>
      <c r="H386" t="s">
        <v>74</v>
      </c>
      <c r="I386" t="s">
        <v>6222</v>
      </c>
      <c r="J386" t="s">
        <v>6200</v>
      </c>
      <c r="K386" t="s">
        <v>74</v>
      </c>
      <c r="L386" t="s">
        <v>74</v>
      </c>
      <c r="M386" t="s">
        <v>78</v>
      </c>
      <c r="N386" t="s">
        <v>219</v>
      </c>
      <c r="O386" t="s">
        <v>74</v>
      </c>
      <c r="P386" t="s">
        <v>74</v>
      </c>
      <c r="Q386" t="s">
        <v>74</v>
      </c>
      <c r="R386" t="s">
        <v>74</v>
      </c>
      <c r="S386" t="s">
        <v>74</v>
      </c>
      <c r="T386" t="s">
        <v>74</v>
      </c>
      <c r="U386" t="s">
        <v>74</v>
      </c>
      <c r="V386" t="s">
        <v>74</v>
      </c>
      <c r="W386" t="s">
        <v>6223</v>
      </c>
      <c r="X386" t="s">
        <v>6224</v>
      </c>
      <c r="Y386" t="s">
        <v>6203</v>
      </c>
      <c r="Z386" t="s">
        <v>74</v>
      </c>
      <c r="AA386" t="s">
        <v>74</v>
      </c>
      <c r="AB386" t="s">
        <v>74</v>
      </c>
      <c r="AC386" t="s">
        <v>74</v>
      </c>
      <c r="AD386" t="s">
        <v>74</v>
      </c>
      <c r="AE386" t="s">
        <v>74</v>
      </c>
      <c r="AF386" t="s">
        <v>74</v>
      </c>
      <c r="AG386">
        <v>41</v>
      </c>
      <c r="AH386">
        <v>5</v>
      </c>
      <c r="AI386">
        <v>5</v>
      </c>
      <c r="AJ386">
        <v>0</v>
      </c>
      <c r="AK386">
        <v>0</v>
      </c>
      <c r="AL386" t="s">
        <v>6204</v>
      </c>
      <c r="AM386" t="s">
        <v>6205</v>
      </c>
      <c r="AN386" t="s">
        <v>6206</v>
      </c>
      <c r="AO386" t="s">
        <v>74</v>
      </c>
      <c r="AP386" t="s">
        <v>74</v>
      </c>
      <c r="AQ386" t="s">
        <v>6207</v>
      </c>
      <c r="AR386" t="s">
        <v>74</v>
      </c>
      <c r="AS386" t="s">
        <v>74</v>
      </c>
      <c r="AT386" t="s">
        <v>74</v>
      </c>
      <c r="AU386">
        <v>2007</v>
      </c>
      <c r="AV386" t="s">
        <v>74</v>
      </c>
      <c r="AW386" t="s">
        <v>74</v>
      </c>
      <c r="AX386" t="s">
        <v>74</v>
      </c>
      <c r="AY386" t="s">
        <v>74</v>
      </c>
      <c r="AZ386" t="s">
        <v>74</v>
      </c>
      <c r="BA386" t="s">
        <v>74</v>
      </c>
      <c r="BB386">
        <v>149</v>
      </c>
      <c r="BC386">
        <v>169</v>
      </c>
      <c r="BD386" t="s">
        <v>74</v>
      </c>
      <c r="BE386" t="s">
        <v>6225</v>
      </c>
      <c r="BF386" t="str">
        <f>HYPERLINK("http://dx.doi.org/10.1079/9781845932473.0149","http://dx.doi.org/10.1079/9781845932473.0149")</f>
        <v>http://dx.doi.org/10.1079/9781845932473.0149</v>
      </c>
      <c r="BG386" t="s">
        <v>6209</v>
      </c>
      <c r="BH386" t="s">
        <v>74</v>
      </c>
      <c r="BI386">
        <v>21</v>
      </c>
      <c r="BJ386" t="s">
        <v>6210</v>
      </c>
      <c r="BK386" t="s">
        <v>6211</v>
      </c>
      <c r="BL386" t="s">
        <v>6212</v>
      </c>
      <c r="BM386" t="s">
        <v>6213</v>
      </c>
      <c r="BN386" t="s">
        <v>74</v>
      </c>
      <c r="BO386" t="s">
        <v>74</v>
      </c>
      <c r="BP386" t="s">
        <v>74</v>
      </c>
      <c r="BQ386" t="s">
        <v>74</v>
      </c>
      <c r="BR386" t="s">
        <v>100</v>
      </c>
      <c r="BS386" t="s">
        <v>6226</v>
      </c>
      <c r="BT386" t="str">
        <f>HYPERLINK("https%3A%2F%2Fwww.webofscience.com%2Fwos%2Fwoscc%2Ffull-record%2FWOS:000293002400014","View Full Record in Web of Science")</f>
        <v>View Full Record in Web of Science</v>
      </c>
    </row>
    <row r="387" spans="1:72" x14ac:dyDescent="0.15">
      <c r="A387" t="s">
        <v>213</v>
      </c>
      <c r="B387" t="s">
        <v>6227</v>
      </c>
      <c r="C387" t="s">
        <v>74</v>
      </c>
      <c r="D387" t="s">
        <v>6197</v>
      </c>
      <c r="E387" t="s">
        <v>74</v>
      </c>
      <c r="F387" t="s">
        <v>6228</v>
      </c>
      <c r="G387" t="s">
        <v>74</v>
      </c>
      <c r="H387" t="s">
        <v>74</v>
      </c>
      <c r="I387" t="s">
        <v>6229</v>
      </c>
      <c r="J387" t="s">
        <v>6200</v>
      </c>
      <c r="K387" t="s">
        <v>74</v>
      </c>
      <c r="L387" t="s">
        <v>74</v>
      </c>
      <c r="M387" t="s">
        <v>78</v>
      </c>
      <c r="N387" t="s">
        <v>219</v>
      </c>
      <c r="O387" t="s">
        <v>74</v>
      </c>
      <c r="P387" t="s">
        <v>74</v>
      </c>
      <c r="Q387" t="s">
        <v>74</v>
      </c>
      <c r="R387" t="s">
        <v>74</v>
      </c>
      <c r="S387" t="s">
        <v>74</v>
      </c>
      <c r="T387" t="s">
        <v>74</v>
      </c>
      <c r="U387" t="s">
        <v>74</v>
      </c>
      <c r="V387" t="s">
        <v>74</v>
      </c>
      <c r="W387" t="s">
        <v>6230</v>
      </c>
      <c r="X387" t="s">
        <v>6231</v>
      </c>
      <c r="Y387" t="s">
        <v>6232</v>
      </c>
      <c r="Z387" t="s">
        <v>74</v>
      </c>
      <c r="AA387" t="s">
        <v>6233</v>
      </c>
      <c r="AB387" t="s">
        <v>6234</v>
      </c>
      <c r="AC387" t="s">
        <v>74</v>
      </c>
      <c r="AD387" t="s">
        <v>74</v>
      </c>
      <c r="AE387" t="s">
        <v>74</v>
      </c>
      <c r="AF387" t="s">
        <v>74</v>
      </c>
      <c r="AG387">
        <v>53</v>
      </c>
      <c r="AH387">
        <v>7</v>
      </c>
      <c r="AI387">
        <v>8</v>
      </c>
      <c r="AJ387">
        <v>0</v>
      </c>
      <c r="AK387">
        <v>6</v>
      </c>
      <c r="AL387" t="s">
        <v>6204</v>
      </c>
      <c r="AM387" t="s">
        <v>6205</v>
      </c>
      <c r="AN387" t="s">
        <v>6206</v>
      </c>
      <c r="AO387" t="s">
        <v>74</v>
      </c>
      <c r="AP387" t="s">
        <v>74</v>
      </c>
      <c r="AQ387" t="s">
        <v>6207</v>
      </c>
      <c r="AR387" t="s">
        <v>74</v>
      </c>
      <c r="AS387" t="s">
        <v>74</v>
      </c>
      <c r="AT387" t="s">
        <v>74</v>
      </c>
      <c r="AU387">
        <v>2007</v>
      </c>
      <c r="AV387" t="s">
        <v>74</v>
      </c>
      <c r="AW387" t="s">
        <v>74</v>
      </c>
      <c r="AX387" t="s">
        <v>74</v>
      </c>
      <c r="AY387" t="s">
        <v>74</v>
      </c>
      <c r="AZ387" t="s">
        <v>74</v>
      </c>
      <c r="BA387" t="s">
        <v>74</v>
      </c>
      <c r="BB387">
        <v>170</v>
      </c>
      <c r="BC387">
        <v>187</v>
      </c>
      <c r="BD387" t="s">
        <v>74</v>
      </c>
      <c r="BE387" t="s">
        <v>6235</v>
      </c>
      <c r="BF387" t="str">
        <f>HYPERLINK("http://dx.doi.org/10.1079/9781845932473.0170","http://dx.doi.org/10.1079/9781845932473.0170")</f>
        <v>http://dx.doi.org/10.1079/9781845932473.0170</v>
      </c>
      <c r="BG387" t="s">
        <v>6209</v>
      </c>
      <c r="BH387" t="s">
        <v>74</v>
      </c>
      <c r="BI387">
        <v>18</v>
      </c>
      <c r="BJ387" t="s">
        <v>6210</v>
      </c>
      <c r="BK387" t="s">
        <v>6211</v>
      </c>
      <c r="BL387" t="s">
        <v>6212</v>
      </c>
      <c r="BM387" t="s">
        <v>6213</v>
      </c>
      <c r="BN387" t="s">
        <v>74</v>
      </c>
      <c r="BO387" t="s">
        <v>74</v>
      </c>
      <c r="BP387" t="s">
        <v>74</v>
      </c>
      <c r="BQ387" t="s">
        <v>74</v>
      </c>
      <c r="BR387" t="s">
        <v>100</v>
      </c>
      <c r="BS387" t="s">
        <v>6236</v>
      </c>
      <c r="BT387" t="str">
        <f>HYPERLINK("https%3A%2F%2Fwww.webofscience.com%2Fwos%2Fwoscc%2Ffull-record%2FWOS:000293002400015","View Full Record in Web of Science")</f>
        <v>View Full Record in Web of Science</v>
      </c>
    </row>
    <row r="388" spans="1:72" x14ac:dyDescent="0.15">
      <c r="A388" t="s">
        <v>213</v>
      </c>
      <c r="B388" t="s">
        <v>6237</v>
      </c>
      <c r="C388" t="s">
        <v>74</v>
      </c>
      <c r="D388" t="s">
        <v>6197</v>
      </c>
      <c r="E388" t="s">
        <v>74</v>
      </c>
      <c r="F388" t="s">
        <v>6238</v>
      </c>
      <c r="G388" t="s">
        <v>74</v>
      </c>
      <c r="H388" t="s">
        <v>74</v>
      </c>
      <c r="I388" t="s">
        <v>6239</v>
      </c>
      <c r="J388" t="s">
        <v>6200</v>
      </c>
      <c r="K388" t="s">
        <v>74</v>
      </c>
      <c r="L388" t="s">
        <v>74</v>
      </c>
      <c r="M388" t="s">
        <v>78</v>
      </c>
      <c r="N388" t="s">
        <v>219</v>
      </c>
      <c r="O388" t="s">
        <v>74</v>
      </c>
      <c r="P388" t="s">
        <v>74</v>
      </c>
      <c r="Q388" t="s">
        <v>74</v>
      </c>
      <c r="R388" t="s">
        <v>74</v>
      </c>
      <c r="S388" t="s">
        <v>74</v>
      </c>
      <c r="T388" t="s">
        <v>74</v>
      </c>
      <c r="U388" t="s">
        <v>74</v>
      </c>
      <c r="V388" t="s">
        <v>74</v>
      </c>
      <c r="W388" t="s">
        <v>6240</v>
      </c>
      <c r="X388" t="s">
        <v>6241</v>
      </c>
      <c r="Y388" t="s">
        <v>6242</v>
      </c>
      <c r="Z388" t="s">
        <v>74</v>
      </c>
      <c r="AA388" t="s">
        <v>74</v>
      </c>
      <c r="AB388" t="s">
        <v>74</v>
      </c>
      <c r="AC388" t="s">
        <v>74</v>
      </c>
      <c r="AD388" t="s">
        <v>74</v>
      </c>
      <c r="AE388" t="s">
        <v>74</v>
      </c>
      <c r="AF388" t="s">
        <v>74</v>
      </c>
      <c r="AG388">
        <v>7</v>
      </c>
      <c r="AH388">
        <v>2</v>
      </c>
      <c r="AI388">
        <v>2</v>
      </c>
      <c r="AJ388">
        <v>0</v>
      </c>
      <c r="AK388">
        <v>0</v>
      </c>
      <c r="AL388" t="s">
        <v>6204</v>
      </c>
      <c r="AM388" t="s">
        <v>6205</v>
      </c>
      <c r="AN388" t="s">
        <v>6206</v>
      </c>
      <c r="AO388" t="s">
        <v>74</v>
      </c>
      <c r="AP388" t="s">
        <v>74</v>
      </c>
      <c r="AQ388" t="s">
        <v>6207</v>
      </c>
      <c r="AR388" t="s">
        <v>74</v>
      </c>
      <c r="AS388" t="s">
        <v>74</v>
      </c>
      <c r="AT388" t="s">
        <v>74</v>
      </c>
      <c r="AU388">
        <v>2007</v>
      </c>
      <c r="AV388" t="s">
        <v>74</v>
      </c>
      <c r="AW388" t="s">
        <v>74</v>
      </c>
      <c r="AX388" t="s">
        <v>74</v>
      </c>
      <c r="AY388" t="s">
        <v>74</v>
      </c>
      <c r="AZ388" t="s">
        <v>74</v>
      </c>
      <c r="BA388" t="s">
        <v>74</v>
      </c>
      <c r="BB388">
        <v>188</v>
      </c>
      <c r="BC388">
        <v>196</v>
      </c>
      <c r="BD388" t="s">
        <v>74</v>
      </c>
      <c r="BE388" t="s">
        <v>6243</v>
      </c>
      <c r="BF388" t="str">
        <f>HYPERLINK("http://dx.doi.org/10.1079/9781845932473.0188","http://dx.doi.org/10.1079/9781845932473.0188")</f>
        <v>http://dx.doi.org/10.1079/9781845932473.0188</v>
      </c>
      <c r="BG388" t="s">
        <v>6209</v>
      </c>
      <c r="BH388" t="s">
        <v>74</v>
      </c>
      <c r="BI388">
        <v>9</v>
      </c>
      <c r="BJ388" t="s">
        <v>6210</v>
      </c>
      <c r="BK388" t="s">
        <v>6211</v>
      </c>
      <c r="BL388" t="s">
        <v>6212</v>
      </c>
      <c r="BM388" t="s">
        <v>6213</v>
      </c>
      <c r="BN388" t="s">
        <v>74</v>
      </c>
      <c r="BO388" t="s">
        <v>74</v>
      </c>
      <c r="BP388" t="s">
        <v>74</v>
      </c>
      <c r="BQ388" t="s">
        <v>74</v>
      </c>
      <c r="BR388" t="s">
        <v>100</v>
      </c>
      <c r="BS388" t="s">
        <v>6244</v>
      </c>
      <c r="BT388" t="str">
        <f>HYPERLINK("https%3A%2F%2Fwww.webofscience.com%2Fwos%2Fwoscc%2Ffull-record%2FWOS:000293002400016","View Full Record in Web of Science")</f>
        <v>View Full Record in Web of Science</v>
      </c>
    </row>
    <row r="389" spans="1:72" x14ac:dyDescent="0.15">
      <c r="A389" t="s">
        <v>213</v>
      </c>
      <c r="B389" t="s">
        <v>6245</v>
      </c>
      <c r="C389" t="s">
        <v>74</v>
      </c>
      <c r="D389" t="s">
        <v>6197</v>
      </c>
      <c r="E389" t="s">
        <v>74</v>
      </c>
      <c r="F389" t="s">
        <v>6246</v>
      </c>
      <c r="G389" t="s">
        <v>74</v>
      </c>
      <c r="H389" t="s">
        <v>74</v>
      </c>
      <c r="I389" t="s">
        <v>6247</v>
      </c>
      <c r="J389" t="s">
        <v>6200</v>
      </c>
      <c r="K389" t="s">
        <v>74</v>
      </c>
      <c r="L389" t="s">
        <v>74</v>
      </c>
      <c r="M389" t="s">
        <v>78</v>
      </c>
      <c r="N389" t="s">
        <v>219</v>
      </c>
      <c r="O389" t="s">
        <v>74</v>
      </c>
      <c r="P389" t="s">
        <v>74</v>
      </c>
      <c r="Q389" t="s">
        <v>74</v>
      </c>
      <c r="R389" t="s">
        <v>74</v>
      </c>
      <c r="S389" t="s">
        <v>74</v>
      </c>
      <c r="T389" t="s">
        <v>74</v>
      </c>
      <c r="U389" t="s">
        <v>6248</v>
      </c>
      <c r="V389" t="s">
        <v>74</v>
      </c>
      <c r="W389" t="s">
        <v>6249</v>
      </c>
      <c r="X389" t="s">
        <v>74</v>
      </c>
      <c r="Y389" t="s">
        <v>6250</v>
      </c>
      <c r="Z389" t="s">
        <v>74</v>
      </c>
      <c r="AA389" t="s">
        <v>74</v>
      </c>
      <c r="AB389" t="s">
        <v>74</v>
      </c>
      <c r="AC389" t="s">
        <v>74</v>
      </c>
      <c r="AD389" t="s">
        <v>74</v>
      </c>
      <c r="AE389" t="s">
        <v>74</v>
      </c>
      <c r="AF389" t="s">
        <v>74</v>
      </c>
      <c r="AG389">
        <v>15</v>
      </c>
      <c r="AH389">
        <v>5</v>
      </c>
      <c r="AI389">
        <v>7</v>
      </c>
      <c r="AJ389">
        <v>0</v>
      </c>
      <c r="AK389">
        <v>1</v>
      </c>
      <c r="AL389" t="s">
        <v>6204</v>
      </c>
      <c r="AM389" t="s">
        <v>6205</v>
      </c>
      <c r="AN389" t="s">
        <v>6206</v>
      </c>
      <c r="AO389" t="s">
        <v>74</v>
      </c>
      <c r="AP389" t="s">
        <v>74</v>
      </c>
      <c r="AQ389" t="s">
        <v>6207</v>
      </c>
      <c r="AR389" t="s">
        <v>74</v>
      </c>
      <c r="AS389" t="s">
        <v>74</v>
      </c>
      <c r="AT389" t="s">
        <v>74</v>
      </c>
      <c r="AU389">
        <v>2007</v>
      </c>
      <c r="AV389" t="s">
        <v>74</v>
      </c>
      <c r="AW389" t="s">
        <v>74</v>
      </c>
      <c r="AX389" t="s">
        <v>74</v>
      </c>
      <c r="AY389" t="s">
        <v>74</v>
      </c>
      <c r="AZ389" t="s">
        <v>74</v>
      </c>
      <c r="BA389" t="s">
        <v>74</v>
      </c>
      <c r="BB389">
        <v>197</v>
      </c>
      <c r="BC389">
        <v>209</v>
      </c>
      <c r="BD389" t="s">
        <v>74</v>
      </c>
      <c r="BE389" t="s">
        <v>6251</v>
      </c>
      <c r="BF389" t="str">
        <f>HYPERLINK("http://dx.doi.org/10.1079/9781845932473.0197","http://dx.doi.org/10.1079/9781845932473.0197")</f>
        <v>http://dx.doi.org/10.1079/9781845932473.0197</v>
      </c>
      <c r="BG389" t="s">
        <v>6209</v>
      </c>
      <c r="BH389" t="s">
        <v>74</v>
      </c>
      <c r="BI389">
        <v>13</v>
      </c>
      <c r="BJ389" t="s">
        <v>6210</v>
      </c>
      <c r="BK389" t="s">
        <v>6211</v>
      </c>
      <c r="BL389" t="s">
        <v>6212</v>
      </c>
      <c r="BM389" t="s">
        <v>6213</v>
      </c>
      <c r="BN389" t="s">
        <v>74</v>
      </c>
      <c r="BO389" t="s">
        <v>74</v>
      </c>
      <c r="BP389" t="s">
        <v>74</v>
      </c>
      <c r="BQ389" t="s">
        <v>74</v>
      </c>
      <c r="BR389" t="s">
        <v>100</v>
      </c>
      <c r="BS389" t="s">
        <v>6252</v>
      </c>
      <c r="BT389" t="str">
        <f>HYPERLINK("https%3A%2F%2Fwww.webofscience.com%2Fwos%2Fwoscc%2Ffull-record%2FWOS:000293002400017","View Full Record in Web of Science")</f>
        <v>View Full Record in Web of Science</v>
      </c>
    </row>
    <row r="390" spans="1:72" x14ac:dyDescent="0.15">
      <c r="A390" t="s">
        <v>213</v>
      </c>
      <c r="B390" t="s">
        <v>6253</v>
      </c>
      <c r="C390" t="s">
        <v>74</v>
      </c>
      <c r="D390" t="s">
        <v>6197</v>
      </c>
      <c r="E390" t="s">
        <v>74</v>
      </c>
      <c r="F390" t="s">
        <v>6254</v>
      </c>
      <c r="G390" t="s">
        <v>74</v>
      </c>
      <c r="H390" t="s">
        <v>74</v>
      </c>
      <c r="I390" t="s">
        <v>6255</v>
      </c>
      <c r="J390" t="s">
        <v>6200</v>
      </c>
      <c r="K390" t="s">
        <v>74</v>
      </c>
      <c r="L390" t="s">
        <v>74</v>
      </c>
      <c r="M390" t="s">
        <v>78</v>
      </c>
      <c r="N390" t="s">
        <v>219</v>
      </c>
      <c r="O390" t="s">
        <v>74</v>
      </c>
      <c r="P390" t="s">
        <v>74</v>
      </c>
      <c r="Q390" t="s">
        <v>74</v>
      </c>
      <c r="R390" t="s">
        <v>74</v>
      </c>
      <c r="S390" t="s">
        <v>74</v>
      </c>
      <c r="T390" t="s">
        <v>74</v>
      </c>
      <c r="U390" t="s">
        <v>6256</v>
      </c>
      <c r="V390" t="s">
        <v>74</v>
      </c>
      <c r="W390" t="s">
        <v>6257</v>
      </c>
      <c r="X390" t="s">
        <v>917</v>
      </c>
      <c r="Y390" t="s">
        <v>6218</v>
      </c>
      <c r="Z390" t="s">
        <v>74</v>
      </c>
      <c r="AA390" t="s">
        <v>74</v>
      </c>
      <c r="AB390" t="s">
        <v>74</v>
      </c>
      <c r="AC390" t="s">
        <v>74</v>
      </c>
      <c r="AD390" t="s">
        <v>74</v>
      </c>
      <c r="AE390" t="s">
        <v>74</v>
      </c>
      <c r="AF390" t="s">
        <v>74</v>
      </c>
      <c r="AG390">
        <v>161</v>
      </c>
      <c r="AH390">
        <v>0</v>
      </c>
      <c r="AI390">
        <v>0</v>
      </c>
      <c r="AJ390">
        <v>0</v>
      </c>
      <c r="AK390">
        <v>1</v>
      </c>
      <c r="AL390" t="s">
        <v>6204</v>
      </c>
      <c r="AM390" t="s">
        <v>6205</v>
      </c>
      <c r="AN390" t="s">
        <v>6206</v>
      </c>
      <c r="AO390" t="s">
        <v>74</v>
      </c>
      <c r="AP390" t="s">
        <v>74</v>
      </c>
      <c r="AQ390" t="s">
        <v>6207</v>
      </c>
      <c r="AR390" t="s">
        <v>74</v>
      </c>
      <c r="AS390" t="s">
        <v>74</v>
      </c>
      <c r="AT390" t="s">
        <v>74</v>
      </c>
      <c r="AU390">
        <v>2007</v>
      </c>
      <c r="AV390" t="s">
        <v>74</v>
      </c>
      <c r="AW390" t="s">
        <v>74</v>
      </c>
      <c r="AX390" t="s">
        <v>74</v>
      </c>
      <c r="AY390" t="s">
        <v>74</v>
      </c>
      <c r="AZ390" t="s">
        <v>74</v>
      </c>
      <c r="BA390" t="s">
        <v>74</v>
      </c>
      <c r="BB390">
        <v>210</v>
      </c>
      <c r="BC390">
        <v>228</v>
      </c>
      <c r="BD390" t="s">
        <v>74</v>
      </c>
      <c r="BE390" t="s">
        <v>6258</v>
      </c>
      <c r="BF390" t="str">
        <f>HYPERLINK("http://dx.doi.org/10.1079/9781845932473.0210","http://dx.doi.org/10.1079/9781845932473.0210")</f>
        <v>http://dx.doi.org/10.1079/9781845932473.0210</v>
      </c>
      <c r="BG390" t="s">
        <v>6209</v>
      </c>
      <c r="BH390" t="s">
        <v>74</v>
      </c>
      <c r="BI390">
        <v>19</v>
      </c>
      <c r="BJ390" t="s">
        <v>6210</v>
      </c>
      <c r="BK390" t="s">
        <v>6211</v>
      </c>
      <c r="BL390" t="s">
        <v>6212</v>
      </c>
      <c r="BM390" t="s">
        <v>6213</v>
      </c>
      <c r="BN390" t="s">
        <v>74</v>
      </c>
      <c r="BO390" t="s">
        <v>74</v>
      </c>
      <c r="BP390" t="s">
        <v>74</v>
      </c>
      <c r="BQ390" t="s">
        <v>74</v>
      </c>
      <c r="BR390" t="s">
        <v>100</v>
      </c>
      <c r="BS390" t="s">
        <v>6259</v>
      </c>
      <c r="BT390" t="str">
        <f>HYPERLINK("https%3A%2F%2Fwww.webofscience.com%2Fwos%2Fwoscc%2Ffull-record%2FWOS:000293002400018","View Full Record in Web of Science")</f>
        <v>View Full Record in Web of Science</v>
      </c>
    </row>
    <row r="391" spans="1:72" x14ac:dyDescent="0.15">
      <c r="A391" t="s">
        <v>213</v>
      </c>
      <c r="B391" t="s">
        <v>6260</v>
      </c>
      <c r="C391" t="s">
        <v>74</v>
      </c>
      <c r="D391" t="s">
        <v>6197</v>
      </c>
      <c r="E391" t="s">
        <v>74</v>
      </c>
      <c r="F391" t="s">
        <v>6261</v>
      </c>
      <c r="G391" t="s">
        <v>74</v>
      </c>
      <c r="H391" t="s">
        <v>74</v>
      </c>
      <c r="I391" t="s">
        <v>6262</v>
      </c>
      <c r="J391" t="s">
        <v>6200</v>
      </c>
      <c r="K391" t="s">
        <v>74</v>
      </c>
      <c r="L391" t="s">
        <v>74</v>
      </c>
      <c r="M391" t="s">
        <v>78</v>
      </c>
      <c r="N391" t="s">
        <v>219</v>
      </c>
      <c r="O391" t="s">
        <v>74</v>
      </c>
      <c r="P391" t="s">
        <v>74</v>
      </c>
      <c r="Q391" t="s">
        <v>74</v>
      </c>
      <c r="R391" t="s">
        <v>74</v>
      </c>
      <c r="S391" t="s">
        <v>74</v>
      </c>
      <c r="T391" t="s">
        <v>74</v>
      </c>
      <c r="U391" t="s">
        <v>74</v>
      </c>
      <c r="V391" t="s">
        <v>74</v>
      </c>
      <c r="W391" t="s">
        <v>6263</v>
      </c>
      <c r="X391" t="s">
        <v>776</v>
      </c>
      <c r="Y391" t="s">
        <v>6264</v>
      </c>
      <c r="Z391" t="s">
        <v>74</v>
      </c>
      <c r="AA391" t="s">
        <v>74</v>
      </c>
      <c r="AB391" t="s">
        <v>74</v>
      </c>
      <c r="AC391" t="s">
        <v>74</v>
      </c>
      <c r="AD391" t="s">
        <v>74</v>
      </c>
      <c r="AE391" t="s">
        <v>74</v>
      </c>
      <c r="AF391" t="s">
        <v>74</v>
      </c>
      <c r="AG391">
        <v>42</v>
      </c>
      <c r="AH391">
        <v>1</v>
      </c>
      <c r="AI391">
        <v>2</v>
      </c>
      <c r="AJ391">
        <v>0</v>
      </c>
      <c r="AK391">
        <v>1</v>
      </c>
      <c r="AL391" t="s">
        <v>6204</v>
      </c>
      <c r="AM391" t="s">
        <v>6205</v>
      </c>
      <c r="AN391" t="s">
        <v>6206</v>
      </c>
      <c r="AO391" t="s">
        <v>74</v>
      </c>
      <c r="AP391" t="s">
        <v>74</v>
      </c>
      <c r="AQ391" t="s">
        <v>6207</v>
      </c>
      <c r="AR391" t="s">
        <v>74</v>
      </c>
      <c r="AS391" t="s">
        <v>74</v>
      </c>
      <c r="AT391" t="s">
        <v>74</v>
      </c>
      <c r="AU391">
        <v>2007</v>
      </c>
      <c r="AV391" t="s">
        <v>74</v>
      </c>
      <c r="AW391" t="s">
        <v>74</v>
      </c>
      <c r="AX391" t="s">
        <v>74</v>
      </c>
      <c r="AY391" t="s">
        <v>74</v>
      </c>
      <c r="AZ391" t="s">
        <v>74</v>
      </c>
      <c r="BA391" t="s">
        <v>74</v>
      </c>
      <c r="BB391">
        <v>263</v>
      </c>
      <c r="BC391">
        <v>284</v>
      </c>
      <c r="BD391" t="s">
        <v>74</v>
      </c>
      <c r="BE391" t="s">
        <v>6265</v>
      </c>
      <c r="BF391" t="str">
        <f>HYPERLINK("http://dx.doi.org/10.1079/9781845932473.0263","http://dx.doi.org/10.1079/9781845932473.0263")</f>
        <v>http://dx.doi.org/10.1079/9781845932473.0263</v>
      </c>
      <c r="BG391" t="s">
        <v>6209</v>
      </c>
      <c r="BH391" t="s">
        <v>74</v>
      </c>
      <c r="BI391">
        <v>22</v>
      </c>
      <c r="BJ391" t="s">
        <v>6210</v>
      </c>
      <c r="BK391" t="s">
        <v>6211</v>
      </c>
      <c r="BL391" t="s">
        <v>6212</v>
      </c>
      <c r="BM391" t="s">
        <v>6213</v>
      </c>
      <c r="BN391" t="s">
        <v>74</v>
      </c>
      <c r="BO391" t="s">
        <v>74</v>
      </c>
      <c r="BP391" t="s">
        <v>74</v>
      </c>
      <c r="BQ391" t="s">
        <v>74</v>
      </c>
      <c r="BR391" t="s">
        <v>100</v>
      </c>
      <c r="BS391" t="s">
        <v>6266</v>
      </c>
      <c r="BT391" t="str">
        <f>HYPERLINK("https%3A%2F%2Fwww.webofscience.com%2Fwos%2Fwoscc%2Ffull-record%2FWOS:000293002400022","View Full Record in Web of Science")</f>
        <v>View Full Record in Web of Science</v>
      </c>
    </row>
    <row r="392" spans="1:72" x14ac:dyDescent="0.15">
      <c r="A392" t="s">
        <v>72</v>
      </c>
      <c r="B392" t="s">
        <v>6267</v>
      </c>
      <c r="C392" t="s">
        <v>74</v>
      </c>
      <c r="D392" t="s">
        <v>74</v>
      </c>
      <c r="E392" t="s">
        <v>74</v>
      </c>
      <c r="F392" t="s">
        <v>6268</v>
      </c>
      <c r="G392" t="s">
        <v>74</v>
      </c>
      <c r="H392" t="s">
        <v>74</v>
      </c>
      <c r="I392" t="s">
        <v>6269</v>
      </c>
      <c r="J392" t="s">
        <v>6270</v>
      </c>
      <c r="K392" t="s">
        <v>74</v>
      </c>
      <c r="L392" t="s">
        <v>74</v>
      </c>
      <c r="M392" t="s">
        <v>78</v>
      </c>
      <c r="N392" t="s">
        <v>79</v>
      </c>
      <c r="O392" t="s">
        <v>74</v>
      </c>
      <c r="P392" t="s">
        <v>74</v>
      </c>
      <c r="Q392" t="s">
        <v>74</v>
      </c>
      <c r="R392" t="s">
        <v>74</v>
      </c>
      <c r="S392" t="s">
        <v>74</v>
      </c>
      <c r="T392" t="s">
        <v>6271</v>
      </c>
      <c r="U392" t="s">
        <v>6272</v>
      </c>
      <c r="V392" t="s">
        <v>6273</v>
      </c>
      <c r="W392" t="s">
        <v>6274</v>
      </c>
      <c r="X392" t="s">
        <v>6275</v>
      </c>
      <c r="Y392" t="s">
        <v>6276</v>
      </c>
      <c r="Z392" t="s">
        <v>6277</v>
      </c>
      <c r="AA392" t="s">
        <v>74</v>
      </c>
      <c r="AB392" t="s">
        <v>74</v>
      </c>
      <c r="AC392" t="s">
        <v>74</v>
      </c>
      <c r="AD392" t="s">
        <v>74</v>
      </c>
      <c r="AE392" t="s">
        <v>74</v>
      </c>
      <c r="AF392" t="s">
        <v>74</v>
      </c>
      <c r="AG392">
        <v>30</v>
      </c>
      <c r="AH392">
        <v>11</v>
      </c>
      <c r="AI392">
        <v>13</v>
      </c>
      <c r="AJ392">
        <v>1</v>
      </c>
      <c r="AK392">
        <v>12</v>
      </c>
      <c r="AL392" t="s">
        <v>613</v>
      </c>
      <c r="AM392" t="s">
        <v>678</v>
      </c>
      <c r="AN392" t="s">
        <v>4336</v>
      </c>
      <c r="AO392" t="s">
        <v>6278</v>
      </c>
      <c r="AP392" t="s">
        <v>74</v>
      </c>
      <c r="AQ392" t="s">
        <v>74</v>
      </c>
      <c r="AR392" t="s">
        <v>6279</v>
      </c>
      <c r="AS392" t="s">
        <v>6280</v>
      </c>
      <c r="AT392" t="s">
        <v>661</v>
      </c>
      <c r="AU392">
        <v>2007</v>
      </c>
      <c r="AV392">
        <v>26</v>
      </c>
      <c r="AW392">
        <v>1</v>
      </c>
      <c r="AX392" t="s">
        <v>74</v>
      </c>
      <c r="AY392" t="s">
        <v>74</v>
      </c>
      <c r="AZ392" t="s">
        <v>74</v>
      </c>
      <c r="BA392" t="s">
        <v>74</v>
      </c>
      <c r="BB392">
        <v>51</v>
      </c>
      <c r="BC392">
        <v>59</v>
      </c>
      <c r="BD392" t="s">
        <v>74</v>
      </c>
      <c r="BE392" t="s">
        <v>6281</v>
      </c>
      <c r="BF392" t="str">
        <f>HYPERLINK("http://dx.doi.org/10.1007/s10930-006-9044-1","http://dx.doi.org/10.1007/s10930-006-9044-1")</f>
        <v>http://dx.doi.org/10.1007/s10930-006-9044-1</v>
      </c>
      <c r="BG392" t="s">
        <v>74</v>
      </c>
      <c r="BH392" t="s">
        <v>74</v>
      </c>
      <c r="BI392">
        <v>9</v>
      </c>
      <c r="BJ392" t="s">
        <v>6282</v>
      </c>
      <c r="BK392" t="s">
        <v>97</v>
      </c>
      <c r="BL392" t="s">
        <v>6282</v>
      </c>
      <c r="BM392" t="s">
        <v>6283</v>
      </c>
      <c r="BN392">
        <v>17203395</v>
      </c>
      <c r="BO392" t="s">
        <v>74</v>
      </c>
      <c r="BP392" t="s">
        <v>74</v>
      </c>
      <c r="BQ392" t="s">
        <v>74</v>
      </c>
      <c r="BR392" t="s">
        <v>100</v>
      </c>
      <c r="BS392" t="s">
        <v>6284</v>
      </c>
      <c r="BT392" t="str">
        <f>HYPERLINK("https%3A%2F%2Fwww.webofscience.com%2Fwos%2Fwoscc%2Ffull-record%2FWOS:000244306600006","View Full Record in Web of Science")</f>
        <v>View Full Record in Web of Science</v>
      </c>
    </row>
    <row r="393" spans="1:72" x14ac:dyDescent="0.15">
      <c r="A393" t="s">
        <v>888</v>
      </c>
      <c r="B393" t="s">
        <v>6285</v>
      </c>
      <c r="C393" t="s">
        <v>74</v>
      </c>
      <c r="D393" t="s">
        <v>6286</v>
      </c>
      <c r="E393" t="s">
        <v>74</v>
      </c>
      <c r="F393" t="s">
        <v>6287</v>
      </c>
      <c r="G393" t="s">
        <v>74</v>
      </c>
      <c r="H393" t="s">
        <v>74</v>
      </c>
      <c r="I393" t="s">
        <v>6288</v>
      </c>
      <c r="J393" t="s">
        <v>6289</v>
      </c>
      <c r="K393" t="s">
        <v>6290</v>
      </c>
      <c r="L393" t="s">
        <v>74</v>
      </c>
      <c r="M393" t="s">
        <v>78</v>
      </c>
      <c r="N393" t="s">
        <v>219</v>
      </c>
      <c r="O393" t="s">
        <v>74</v>
      </c>
      <c r="P393" t="s">
        <v>74</v>
      </c>
      <c r="Q393" t="s">
        <v>74</v>
      </c>
      <c r="R393" t="s">
        <v>74</v>
      </c>
      <c r="S393" t="s">
        <v>74</v>
      </c>
      <c r="T393" t="s">
        <v>74</v>
      </c>
      <c r="U393" t="s">
        <v>6291</v>
      </c>
      <c r="V393" t="s">
        <v>74</v>
      </c>
      <c r="W393" t="s">
        <v>6292</v>
      </c>
      <c r="X393" t="s">
        <v>917</v>
      </c>
      <c r="Y393" t="s">
        <v>6293</v>
      </c>
      <c r="Z393" t="s">
        <v>74</v>
      </c>
      <c r="AA393" t="s">
        <v>6294</v>
      </c>
      <c r="AB393" t="s">
        <v>6295</v>
      </c>
      <c r="AC393" t="s">
        <v>74</v>
      </c>
      <c r="AD393" t="s">
        <v>74</v>
      </c>
      <c r="AE393" t="s">
        <v>74</v>
      </c>
      <c r="AF393" t="s">
        <v>74</v>
      </c>
      <c r="AG393">
        <v>183</v>
      </c>
      <c r="AH393">
        <v>10</v>
      </c>
      <c r="AI393">
        <v>11</v>
      </c>
      <c r="AJ393">
        <v>0</v>
      </c>
      <c r="AK393">
        <v>5</v>
      </c>
      <c r="AL393" t="s">
        <v>902</v>
      </c>
      <c r="AM393" t="s">
        <v>903</v>
      </c>
      <c r="AN393" t="s">
        <v>904</v>
      </c>
      <c r="AO393" t="s">
        <v>6296</v>
      </c>
      <c r="AP393" t="s">
        <v>74</v>
      </c>
      <c r="AQ393" t="s">
        <v>6297</v>
      </c>
      <c r="AR393" t="s">
        <v>6298</v>
      </c>
      <c r="AS393" t="s">
        <v>74</v>
      </c>
      <c r="AT393" t="s">
        <v>74</v>
      </c>
      <c r="AU393">
        <v>2007</v>
      </c>
      <c r="AV393">
        <v>1</v>
      </c>
      <c r="AW393" t="s">
        <v>74</v>
      </c>
      <c r="AX393" t="s">
        <v>74</v>
      </c>
      <c r="AY393" t="s">
        <v>74</v>
      </c>
      <c r="AZ393" t="s">
        <v>74</v>
      </c>
      <c r="BA393" t="s">
        <v>74</v>
      </c>
      <c r="BB393">
        <v>19</v>
      </c>
      <c r="BC393">
        <v>62</v>
      </c>
      <c r="BD393" t="s">
        <v>74</v>
      </c>
      <c r="BE393" t="s">
        <v>6299</v>
      </c>
      <c r="BF393" t="str">
        <f>HYPERLINK("http://dx.doi.org/10.1016/S1572-5480(07)01006-8","http://dx.doi.org/10.1016/S1572-5480(07)01006-8")</f>
        <v>http://dx.doi.org/10.1016/S1572-5480(07)01006-8</v>
      </c>
      <c r="BG393" t="s">
        <v>74</v>
      </c>
      <c r="BH393" t="s">
        <v>74</v>
      </c>
      <c r="BI393">
        <v>44</v>
      </c>
      <c r="BJ393" t="s">
        <v>6300</v>
      </c>
      <c r="BK393" t="s">
        <v>238</v>
      </c>
      <c r="BL393" t="s">
        <v>6300</v>
      </c>
      <c r="BM393" t="s">
        <v>6301</v>
      </c>
      <c r="BN393" t="s">
        <v>74</v>
      </c>
      <c r="BO393" t="s">
        <v>74</v>
      </c>
      <c r="BP393" t="s">
        <v>74</v>
      </c>
      <c r="BQ393" t="s">
        <v>74</v>
      </c>
      <c r="BR393" t="s">
        <v>100</v>
      </c>
      <c r="BS393" t="s">
        <v>6302</v>
      </c>
      <c r="BT393" t="str">
        <f>HYPERLINK("https%3A%2F%2Fwww.webofscience.com%2Fwos%2Fwoscc%2Ffull-record%2FWOS:000311027900002","View Full Record in Web of Science")</f>
        <v>View Full Record in Web of Science</v>
      </c>
    </row>
    <row r="394" spans="1:72" x14ac:dyDescent="0.15">
      <c r="A394" t="s">
        <v>888</v>
      </c>
      <c r="B394" t="s">
        <v>6303</v>
      </c>
      <c r="C394" t="s">
        <v>74</v>
      </c>
      <c r="D394" t="s">
        <v>6286</v>
      </c>
      <c r="E394" t="s">
        <v>74</v>
      </c>
      <c r="F394" t="s">
        <v>6304</v>
      </c>
      <c r="G394" t="s">
        <v>74</v>
      </c>
      <c r="H394" t="s">
        <v>74</v>
      </c>
      <c r="I394" t="s">
        <v>6305</v>
      </c>
      <c r="J394" t="s">
        <v>6289</v>
      </c>
      <c r="K394" t="s">
        <v>6290</v>
      </c>
      <c r="L394" t="s">
        <v>74</v>
      </c>
      <c r="M394" t="s">
        <v>78</v>
      </c>
      <c r="N394" t="s">
        <v>219</v>
      </c>
      <c r="O394" t="s">
        <v>74</v>
      </c>
      <c r="P394" t="s">
        <v>74</v>
      </c>
      <c r="Q394" t="s">
        <v>74</v>
      </c>
      <c r="R394" t="s">
        <v>74</v>
      </c>
      <c r="S394" t="s">
        <v>74</v>
      </c>
      <c r="T394" t="s">
        <v>74</v>
      </c>
      <c r="U394" t="s">
        <v>6306</v>
      </c>
      <c r="V394" t="s">
        <v>74</v>
      </c>
      <c r="W394" t="s">
        <v>6307</v>
      </c>
      <c r="X394" t="s">
        <v>6308</v>
      </c>
      <c r="Y394" t="s">
        <v>6309</v>
      </c>
      <c r="Z394" t="s">
        <v>74</v>
      </c>
      <c r="AA394" t="s">
        <v>6310</v>
      </c>
      <c r="AB394" t="s">
        <v>6311</v>
      </c>
      <c r="AC394" t="s">
        <v>74</v>
      </c>
      <c r="AD394" t="s">
        <v>74</v>
      </c>
      <c r="AE394" t="s">
        <v>74</v>
      </c>
      <c r="AF394" t="s">
        <v>74</v>
      </c>
      <c r="AG394">
        <v>176</v>
      </c>
      <c r="AH394">
        <v>74</v>
      </c>
      <c r="AI394">
        <v>86</v>
      </c>
      <c r="AJ394">
        <v>0</v>
      </c>
      <c r="AK394">
        <v>1</v>
      </c>
      <c r="AL394" t="s">
        <v>902</v>
      </c>
      <c r="AM394" t="s">
        <v>903</v>
      </c>
      <c r="AN394" t="s">
        <v>904</v>
      </c>
      <c r="AO394" t="s">
        <v>6296</v>
      </c>
      <c r="AP394" t="s">
        <v>74</v>
      </c>
      <c r="AQ394" t="s">
        <v>6297</v>
      </c>
      <c r="AR394" t="s">
        <v>6298</v>
      </c>
      <c r="AS394" t="s">
        <v>74</v>
      </c>
      <c r="AT394" t="s">
        <v>74</v>
      </c>
      <c r="AU394">
        <v>2007</v>
      </c>
      <c r="AV394">
        <v>1</v>
      </c>
      <c r="AW394" t="s">
        <v>74</v>
      </c>
      <c r="AX394" t="s">
        <v>74</v>
      </c>
      <c r="AY394" t="s">
        <v>74</v>
      </c>
      <c r="AZ394" t="s">
        <v>74</v>
      </c>
      <c r="BA394" t="s">
        <v>74</v>
      </c>
      <c r="BB394">
        <v>99</v>
      </c>
      <c r="BC394">
        <v>138</v>
      </c>
      <c r="BD394" t="s">
        <v>74</v>
      </c>
      <c r="BE394" t="s">
        <v>6312</v>
      </c>
      <c r="BF394" t="str">
        <f>HYPERLINK("http://dx.doi.org/10.1016/S1572-5480(07)01008-1","http://dx.doi.org/10.1016/S1572-5480(07)01008-1")</f>
        <v>http://dx.doi.org/10.1016/S1572-5480(07)01008-1</v>
      </c>
      <c r="BG394" t="s">
        <v>74</v>
      </c>
      <c r="BH394" t="s">
        <v>74</v>
      </c>
      <c r="BI394">
        <v>40</v>
      </c>
      <c r="BJ394" t="s">
        <v>6300</v>
      </c>
      <c r="BK394" t="s">
        <v>238</v>
      </c>
      <c r="BL394" t="s">
        <v>6300</v>
      </c>
      <c r="BM394" t="s">
        <v>6301</v>
      </c>
      <c r="BN394" t="s">
        <v>74</v>
      </c>
      <c r="BO394" t="s">
        <v>74</v>
      </c>
      <c r="BP394" t="s">
        <v>74</v>
      </c>
      <c r="BQ394" t="s">
        <v>74</v>
      </c>
      <c r="BR394" t="s">
        <v>100</v>
      </c>
      <c r="BS394" t="s">
        <v>6313</v>
      </c>
      <c r="BT394" t="str">
        <f>HYPERLINK("https%3A%2F%2Fwww.webofscience.com%2Fwos%2Fwoscc%2Ffull-record%2FWOS:000311027900004","View Full Record in Web of Science")</f>
        <v>View Full Record in Web of Science</v>
      </c>
    </row>
    <row r="395" spans="1:72" x14ac:dyDescent="0.15">
      <c r="A395" t="s">
        <v>72</v>
      </c>
      <c r="B395" t="s">
        <v>6314</v>
      </c>
      <c r="C395" t="s">
        <v>74</v>
      </c>
      <c r="D395" t="s">
        <v>74</v>
      </c>
      <c r="E395" t="s">
        <v>74</v>
      </c>
      <c r="F395" t="s">
        <v>6315</v>
      </c>
      <c r="G395" t="s">
        <v>74</v>
      </c>
      <c r="H395" t="s">
        <v>74</v>
      </c>
      <c r="I395" t="s">
        <v>6316</v>
      </c>
      <c r="J395" t="s">
        <v>6317</v>
      </c>
      <c r="K395" t="s">
        <v>74</v>
      </c>
      <c r="L395" t="s">
        <v>74</v>
      </c>
      <c r="M395" t="s">
        <v>78</v>
      </c>
      <c r="N395" t="s">
        <v>79</v>
      </c>
      <c r="O395" t="s">
        <v>74</v>
      </c>
      <c r="P395" t="s">
        <v>74</v>
      </c>
      <c r="Q395" t="s">
        <v>74</v>
      </c>
      <c r="R395" t="s">
        <v>74</v>
      </c>
      <c r="S395" t="s">
        <v>74</v>
      </c>
      <c r="T395" t="s">
        <v>74</v>
      </c>
      <c r="U395" t="s">
        <v>6318</v>
      </c>
      <c r="V395" t="s">
        <v>6319</v>
      </c>
      <c r="W395" t="s">
        <v>6320</v>
      </c>
      <c r="X395" t="s">
        <v>6321</v>
      </c>
      <c r="Y395" t="s">
        <v>6322</v>
      </c>
      <c r="Z395" t="s">
        <v>6323</v>
      </c>
      <c r="AA395" t="s">
        <v>6324</v>
      </c>
      <c r="AB395" t="s">
        <v>6325</v>
      </c>
      <c r="AC395" t="s">
        <v>74</v>
      </c>
      <c r="AD395" t="s">
        <v>74</v>
      </c>
      <c r="AE395" t="s">
        <v>74</v>
      </c>
      <c r="AF395" t="s">
        <v>74</v>
      </c>
      <c r="AG395">
        <v>83</v>
      </c>
      <c r="AH395">
        <v>85</v>
      </c>
      <c r="AI395">
        <v>96</v>
      </c>
      <c r="AJ395">
        <v>3</v>
      </c>
      <c r="AK395">
        <v>50</v>
      </c>
      <c r="AL395" t="s">
        <v>817</v>
      </c>
      <c r="AM395" t="s">
        <v>818</v>
      </c>
      <c r="AN395" t="s">
        <v>819</v>
      </c>
      <c r="AO395" t="s">
        <v>6326</v>
      </c>
      <c r="AP395" t="s">
        <v>74</v>
      </c>
      <c r="AQ395" t="s">
        <v>74</v>
      </c>
      <c r="AR395" t="s">
        <v>6327</v>
      </c>
      <c r="AS395" t="s">
        <v>6328</v>
      </c>
      <c r="AT395" t="s">
        <v>661</v>
      </c>
      <c r="AU395">
        <v>2007</v>
      </c>
      <c r="AV395">
        <v>26</v>
      </c>
      <c r="AW395" t="s">
        <v>94</v>
      </c>
      <c r="AX395" t="s">
        <v>74</v>
      </c>
      <c r="AY395" t="s">
        <v>74</v>
      </c>
      <c r="AZ395" t="s">
        <v>74</v>
      </c>
      <c r="BA395" t="s">
        <v>74</v>
      </c>
      <c r="BB395">
        <v>1</v>
      </c>
      <c r="BC395">
        <v>17</v>
      </c>
      <c r="BD395" t="s">
        <v>74</v>
      </c>
      <c r="BE395" t="s">
        <v>6329</v>
      </c>
      <c r="BF395" t="str">
        <f>HYPERLINK("http://dx.doi.org/10.1016/j.quascirev.2006.07.015","http://dx.doi.org/10.1016/j.quascirev.2006.07.015")</f>
        <v>http://dx.doi.org/10.1016/j.quascirev.2006.07.015</v>
      </c>
      <c r="BG395" t="s">
        <v>74</v>
      </c>
      <c r="BH395" t="s">
        <v>74</v>
      </c>
      <c r="BI395">
        <v>17</v>
      </c>
      <c r="BJ395" t="s">
        <v>663</v>
      </c>
      <c r="BK395" t="s">
        <v>97</v>
      </c>
      <c r="BL395" t="s">
        <v>664</v>
      </c>
      <c r="BM395" t="s">
        <v>6330</v>
      </c>
      <c r="BN395" t="s">
        <v>74</v>
      </c>
      <c r="BO395" t="s">
        <v>74</v>
      </c>
      <c r="BP395" t="s">
        <v>74</v>
      </c>
      <c r="BQ395" t="s">
        <v>74</v>
      </c>
      <c r="BR395" t="s">
        <v>100</v>
      </c>
      <c r="BS395" t="s">
        <v>6331</v>
      </c>
      <c r="BT395" t="str">
        <f>HYPERLINK("https%3A%2F%2Fwww.webofscience.com%2Fwos%2Fwoscc%2Ffull-record%2FWOS:000244024800001","View Full Record in Web of Science")</f>
        <v>View Full Record in Web of Science</v>
      </c>
    </row>
    <row r="396" spans="1:72" x14ac:dyDescent="0.15">
      <c r="A396" t="s">
        <v>72</v>
      </c>
      <c r="B396" t="s">
        <v>6332</v>
      </c>
      <c r="C396" t="s">
        <v>74</v>
      </c>
      <c r="D396" t="s">
        <v>74</v>
      </c>
      <c r="E396" t="s">
        <v>74</v>
      </c>
      <c r="F396" t="s">
        <v>6333</v>
      </c>
      <c r="G396" t="s">
        <v>74</v>
      </c>
      <c r="H396" t="s">
        <v>74</v>
      </c>
      <c r="I396" t="s">
        <v>6334</v>
      </c>
      <c r="J396" t="s">
        <v>6317</v>
      </c>
      <c r="K396" t="s">
        <v>74</v>
      </c>
      <c r="L396" t="s">
        <v>74</v>
      </c>
      <c r="M396" t="s">
        <v>78</v>
      </c>
      <c r="N396" t="s">
        <v>79</v>
      </c>
      <c r="O396" t="s">
        <v>74</v>
      </c>
      <c r="P396" t="s">
        <v>74</v>
      </c>
      <c r="Q396" t="s">
        <v>74</v>
      </c>
      <c r="R396" t="s">
        <v>74</v>
      </c>
      <c r="S396" t="s">
        <v>74</v>
      </c>
      <c r="T396" t="s">
        <v>74</v>
      </c>
      <c r="U396" t="s">
        <v>6335</v>
      </c>
      <c r="V396" t="s">
        <v>6336</v>
      </c>
      <c r="W396" t="s">
        <v>6337</v>
      </c>
      <c r="X396" t="s">
        <v>6338</v>
      </c>
      <c r="Y396" t="s">
        <v>6339</v>
      </c>
      <c r="Z396" t="s">
        <v>6340</v>
      </c>
      <c r="AA396" t="s">
        <v>6341</v>
      </c>
      <c r="AB396" t="s">
        <v>6342</v>
      </c>
      <c r="AC396" t="s">
        <v>6343</v>
      </c>
      <c r="AD396" t="s">
        <v>1254</v>
      </c>
      <c r="AE396" t="s">
        <v>74</v>
      </c>
      <c r="AF396" t="s">
        <v>74</v>
      </c>
      <c r="AG396">
        <v>36</v>
      </c>
      <c r="AH396">
        <v>329</v>
      </c>
      <c r="AI396">
        <v>377</v>
      </c>
      <c r="AJ396">
        <v>1</v>
      </c>
      <c r="AK396">
        <v>88</v>
      </c>
      <c r="AL396" t="s">
        <v>817</v>
      </c>
      <c r="AM396" t="s">
        <v>818</v>
      </c>
      <c r="AN396" t="s">
        <v>819</v>
      </c>
      <c r="AO396" t="s">
        <v>6326</v>
      </c>
      <c r="AP396" t="s">
        <v>74</v>
      </c>
      <c r="AQ396" t="s">
        <v>74</v>
      </c>
      <c r="AR396" t="s">
        <v>6327</v>
      </c>
      <c r="AS396" t="s">
        <v>6328</v>
      </c>
      <c r="AT396" t="s">
        <v>661</v>
      </c>
      <c r="AU396">
        <v>2007</v>
      </c>
      <c r="AV396">
        <v>26</v>
      </c>
      <c r="AW396" t="s">
        <v>94</v>
      </c>
      <c r="AX396" t="s">
        <v>74</v>
      </c>
      <c r="AY396" t="s">
        <v>74</v>
      </c>
      <c r="AZ396" t="s">
        <v>74</v>
      </c>
      <c r="BA396" t="s">
        <v>74</v>
      </c>
      <c r="BB396">
        <v>70</v>
      </c>
      <c r="BC396">
        <v>81</v>
      </c>
      <c r="BD396" t="s">
        <v>74</v>
      </c>
      <c r="BE396" t="s">
        <v>6344</v>
      </c>
      <c r="BF396" t="str">
        <f>HYPERLINK("http://dx.doi.org/10.1016/j.quascirev.2006.07.017","http://dx.doi.org/10.1016/j.quascirev.2006.07.017")</f>
        <v>http://dx.doi.org/10.1016/j.quascirev.2006.07.017</v>
      </c>
      <c r="BG396" t="s">
        <v>74</v>
      </c>
      <c r="BH396" t="s">
        <v>74</v>
      </c>
      <c r="BI396">
        <v>12</v>
      </c>
      <c r="BJ396" t="s">
        <v>663</v>
      </c>
      <c r="BK396" t="s">
        <v>97</v>
      </c>
      <c r="BL396" t="s">
        <v>664</v>
      </c>
      <c r="BM396" t="s">
        <v>6330</v>
      </c>
      <c r="BN396" t="s">
        <v>74</v>
      </c>
      <c r="BO396" t="s">
        <v>74</v>
      </c>
      <c r="BP396" t="s">
        <v>74</v>
      </c>
      <c r="BQ396" t="s">
        <v>74</v>
      </c>
      <c r="BR396" t="s">
        <v>100</v>
      </c>
      <c r="BS396" t="s">
        <v>6345</v>
      </c>
      <c r="BT396" t="str">
        <f>HYPERLINK("https%3A%2F%2Fwww.webofscience.com%2Fwos%2Fwoscc%2Ffull-record%2FWOS:000244024800005","View Full Record in Web of Science")</f>
        <v>View Full Record in Web of Science</v>
      </c>
    </row>
    <row r="397" spans="1:72" x14ac:dyDescent="0.15">
      <c r="A397" t="s">
        <v>72</v>
      </c>
      <c r="B397" t="s">
        <v>6346</v>
      </c>
      <c r="C397" t="s">
        <v>74</v>
      </c>
      <c r="D397" t="s">
        <v>74</v>
      </c>
      <c r="E397" t="s">
        <v>74</v>
      </c>
      <c r="F397" t="s">
        <v>6347</v>
      </c>
      <c r="G397" t="s">
        <v>74</v>
      </c>
      <c r="H397" t="s">
        <v>74</v>
      </c>
      <c r="I397" t="s">
        <v>6348</v>
      </c>
      <c r="J397" t="s">
        <v>6317</v>
      </c>
      <c r="K397" t="s">
        <v>74</v>
      </c>
      <c r="L397" t="s">
        <v>74</v>
      </c>
      <c r="M397" t="s">
        <v>78</v>
      </c>
      <c r="N397" t="s">
        <v>79</v>
      </c>
      <c r="O397" t="s">
        <v>74</v>
      </c>
      <c r="P397" t="s">
        <v>74</v>
      </c>
      <c r="Q397" t="s">
        <v>74</v>
      </c>
      <c r="R397" t="s">
        <v>74</v>
      </c>
      <c r="S397" t="s">
        <v>74</v>
      </c>
      <c r="T397" t="s">
        <v>74</v>
      </c>
      <c r="U397" t="s">
        <v>6349</v>
      </c>
      <c r="V397" t="s">
        <v>6350</v>
      </c>
      <c r="W397" t="s">
        <v>6351</v>
      </c>
      <c r="X397" t="s">
        <v>6352</v>
      </c>
      <c r="Y397" t="s">
        <v>6353</v>
      </c>
      <c r="Z397" t="s">
        <v>6354</v>
      </c>
      <c r="AA397" t="s">
        <v>6355</v>
      </c>
      <c r="AB397" t="s">
        <v>6356</v>
      </c>
      <c r="AC397" t="s">
        <v>74</v>
      </c>
      <c r="AD397" t="s">
        <v>74</v>
      </c>
      <c r="AE397" t="s">
        <v>74</v>
      </c>
      <c r="AF397" t="s">
        <v>74</v>
      </c>
      <c r="AG397">
        <v>63</v>
      </c>
      <c r="AH397">
        <v>247</v>
      </c>
      <c r="AI397">
        <v>261</v>
      </c>
      <c r="AJ397">
        <v>1</v>
      </c>
      <c r="AK397">
        <v>57</v>
      </c>
      <c r="AL397" t="s">
        <v>817</v>
      </c>
      <c r="AM397" t="s">
        <v>818</v>
      </c>
      <c r="AN397" t="s">
        <v>819</v>
      </c>
      <c r="AO397" t="s">
        <v>6326</v>
      </c>
      <c r="AP397" t="s">
        <v>74</v>
      </c>
      <c r="AQ397" t="s">
        <v>74</v>
      </c>
      <c r="AR397" t="s">
        <v>6327</v>
      </c>
      <c r="AS397" t="s">
        <v>6328</v>
      </c>
      <c r="AT397" t="s">
        <v>661</v>
      </c>
      <c r="AU397">
        <v>2007</v>
      </c>
      <c r="AV397">
        <v>26</v>
      </c>
      <c r="AW397" t="s">
        <v>94</v>
      </c>
      <c r="AX397" t="s">
        <v>74</v>
      </c>
      <c r="AY397" t="s">
        <v>74</v>
      </c>
      <c r="AZ397" t="s">
        <v>74</v>
      </c>
      <c r="BA397" t="s">
        <v>74</v>
      </c>
      <c r="BB397">
        <v>82</v>
      </c>
      <c r="BC397">
        <v>97</v>
      </c>
      <c r="BD397" t="s">
        <v>74</v>
      </c>
      <c r="BE397" t="s">
        <v>6357</v>
      </c>
      <c r="BF397" t="str">
        <f>HYPERLINK("http://dx.doi.org/10.1016/j.quascirev.2006.07.012","http://dx.doi.org/10.1016/j.quascirev.2006.07.012")</f>
        <v>http://dx.doi.org/10.1016/j.quascirev.2006.07.012</v>
      </c>
      <c r="BG397" t="s">
        <v>74</v>
      </c>
      <c r="BH397" t="s">
        <v>74</v>
      </c>
      <c r="BI397">
        <v>16</v>
      </c>
      <c r="BJ397" t="s">
        <v>663</v>
      </c>
      <c r="BK397" t="s">
        <v>97</v>
      </c>
      <c r="BL397" t="s">
        <v>664</v>
      </c>
      <c r="BM397" t="s">
        <v>6330</v>
      </c>
      <c r="BN397" t="s">
        <v>74</v>
      </c>
      <c r="BO397" t="s">
        <v>74</v>
      </c>
      <c r="BP397" t="s">
        <v>74</v>
      </c>
      <c r="BQ397" t="s">
        <v>74</v>
      </c>
      <c r="BR397" t="s">
        <v>100</v>
      </c>
      <c r="BS397" t="s">
        <v>6358</v>
      </c>
      <c r="BT397" t="str">
        <f>HYPERLINK("https%3A%2F%2Fwww.webofscience.com%2Fwos%2Fwoscc%2Ffull-record%2FWOS:000244024800006","View Full Record in Web of Science")</f>
        <v>View Full Record in Web of Science</v>
      </c>
    </row>
    <row r="398" spans="1:72" x14ac:dyDescent="0.15">
      <c r="A398" t="s">
        <v>72</v>
      </c>
      <c r="B398" t="s">
        <v>6359</v>
      </c>
      <c r="C398" t="s">
        <v>74</v>
      </c>
      <c r="D398" t="s">
        <v>74</v>
      </c>
      <c r="E398" t="s">
        <v>74</v>
      </c>
      <c r="F398" t="s">
        <v>6360</v>
      </c>
      <c r="G398" t="s">
        <v>74</v>
      </c>
      <c r="H398" t="s">
        <v>74</v>
      </c>
      <c r="I398" t="s">
        <v>6361</v>
      </c>
      <c r="J398" t="s">
        <v>6317</v>
      </c>
      <c r="K398" t="s">
        <v>74</v>
      </c>
      <c r="L398" t="s">
        <v>74</v>
      </c>
      <c r="M398" t="s">
        <v>78</v>
      </c>
      <c r="N398" t="s">
        <v>79</v>
      </c>
      <c r="O398" t="s">
        <v>74</v>
      </c>
      <c r="P398" t="s">
        <v>74</v>
      </c>
      <c r="Q398" t="s">
        <v>74</v>
      </c>
      <c r="R398" t="s">
        <v>74</v>
      </c>
      <c r="S398" t="s">
        <v>74</v>
      </c>
      <c r="T398" t="s">
        <v>74</v>
      </c>
      <c r="U398" t="s">
        <v>6362</v>
      </c>
      <c r="V398" t="s">
        <v>6363</v>
      </c>
      <c r="W398" t="s">
        <v>6364</v>
      </c>
      <c r="X398" t="s">
        <v>6365</v>
      </c>
      <c r="Y398" t="s">
        <v>6366</v>
      </c>
      <c r="Z398" t="s">
        <v>6367</v>
      </c>
      <c r="AA398" t="s">
        <v>74</v>
      </c>
      <c r="AB398" t="s">
        <v>6368</v>
      </c>
      <c r="AC398" t="s">
        <v>74</v>
      </c>
      <c r="AD398" t="s">
        <v>74</v>
      </c>
      <c r="AE398" t="s">
        <v>74</v>
      </c>
      <c r="AF398" t="s">
        <v>74</v>
      </c>
      <c r="AG398">
        <v>83</v>
      </c>
      <c r="AH398">
        <v>46</v>
      </c>
      <c r="AI398">
        <v>56</v>
      </c>
      <c r="AJ398">
        <v>1</v>
      </c>
      <c r="AK398">
        <v>33</v>
      </c>
      <c r="AL398" t="s">
        <v>817</v>
      </c>
      <c r="AM398" t="s">
        <v>818</v>
      </c>
      <c r="AN398" t="s">
        <v>819</v>
      </c>
      <c r="AO398" t="s">
        <v>6326</v>
      </c>
      <c r="AP398" t="s">
        <v>74</v>
      </c>
      <c r="AQ398" t="s">
        <v>74</v>
      </c>
      <c r="AR398" t="s">
        <v>6327</v>
      </c>
      <c r="AS398" t="s">
        <v>6328</v>
      </c>
      <c r="AT398" t="s">
        <v>661</v>
      </c>
      <c r="AU398">
        <v>2007</v>
      </c>
      <c r="AV398">
        <v>26</v>
      </c>
      <c r="AW398" t="s">
        <v>94</v>
      </c>
      <c r="AX398" t="s">
        <v>74</v>
      </c>
      <c r="AY398" t="s">
        <v>74</v>
      </c>
      <c r="AZ398" t="s">
        <v>74</v>
      </c>
      <c r="BA398" t="s">
        <v>74</v>
      </c>
      <c r="BB398">
        <v>201</v>
      </c>
      <c r="BC398">
        <v>212</v>
      </c>
      <c r="BD398" t="s">
        <v>74</v>
      </c>
      <c r="BE398" t="s">
        <v>6369</v>
      </c>
      <c r="BF398" t="str">
        <f>HYPERLINK("http://dx.doi.org/10.1016/j.quascirev.2006.08.005","http://dx.doi.org/10.1016/j.quascirev.2006.08.005")</f>
        <v>http://dx.doi.org/10.1016/j.quascirev.2006.08.005</v>
      </c>
      <c r="BG398" t="s">
        <v>74</v>
      </c>
      <c r="BH398" t="s">
        <v>74</v>
      </c>
      <c r="BI398">
        <v>12</v>
      </c>
      <c r="BJ398" t="s">
        <v>663</v>
      </c>
      <c r="BK398" t="s">
        <v>97</v>
      </c>
      <c r="BL398" t="s">
        <v>664</v>
      </c>
      <c r="BM398" t="s">
        <v>6330</v>
      </c>
      <c r="BN398" t="s">
        <v>74</v>
      </c>
      <c r="BO398" t="s">
        <v>74</v>
      </c>
      <c r="BP398" t="s">
        <v>74</v>
      </c>
      <c r="BQ398" t="s">
        <v>74</v>
      </c>
      <c r="BR398" t="s">
        <v>100</v>
      </c>
      <c r="BS398" t="s">
        <v>6370</v>
      </c>
      <c r="BT398" t="str">
        <f>HYPERLINK("https%3A%2F%2Fwww.webofscience.com%2Fwos%2Fwoscc%2Ffull-record%2FWOS:000244024800014","View Full Record in Web of Science")</f>
        <v>View Full Record in Web of Science</v>
      </c>
    </row>
    <row r="399" spans="1:72" x14ac:dyDescent="0.15">
      <c r="A399" t="s">
        <v>72</v>
      </c>
      <c r="B399" t="s">
        <v>6371</v>
      </c>
      <c r="C399" t="s">
        <v>74</v>
      </c>
      <c r="D399" t="s">
        <v>74</v>
      </c>
      <c r="E399" t="s">
        <v>74</v>
      </c>
      <c r="F399" t="s">
        <v>6372</v>
      </c>
      <c r="G399" t="s">
        <v>74</v>
      </c>
      <c r="H399" t="s">
        <v>74</v>
      </c>
      <c r="I399" t="s">
        <v>6373</v>
      </c>
      <c r="J399" t="s">
        <v>6317</v>
      </c>
      <c r="K399" t="s">
        <v>74</v>
      </c>
      <c r="L399" t="s">
        <v>74</v>
      </c>
      <c r="M399" t="s">
        <v>78</v>
      </c>
      <c r="N399" t="s">
        <v>366</v>
      </c>
      <c r="O399" t="s">
        <v>74</v>
      </c>
      <c r="P399" t="s">
        <v>74</v>
      </c>
      <c r="Q399" t="s">
        <v>74</v>
      </c>
      <c r="R399" t="s">
        <v>74</v>
      </c>
      <c r="S399" t="s">
        <v>74</v>
      </c>
      <c r="T399" t="s">
        <v>74</v>
      </c>
      <c r="U399" t="s">
        <v>6374</v>
      </c>
      <c r="V399" t="s">
        <v>6375</v>
      </c>
      <c r="W399" t="s">
        <v>6376</v>
      </c>
      <c r="X399" t="s">
        <v>6377</v>
      </c>
      <c r="Y399" t="s">
        <v>6378</v>
      </c>
      <c r="Z399" t="s">
        <v>6379</v>
      </c>
      <c r="AA399" t="s">
        <v>74</v>
      </c>
      <c r="AB399" t="s">
        <v>6380</v>
      </c>
      <c r="AC399" t="s">
        <v>74</v>
      </c>
      <c r="AD399" t="s">
        <v>74</v>
      </c>
      <c r="AE399" t="s">
        <v>74</v>
      </c>
      <c r="AF399" t="s">
        <v>74</v>
      </c>
      <c r="AG399">
        <v>126</v>
      </c>
      <c r="AH399">
        <v>6</v>
      </c>
      <c r="AI399">
        <v>6</v>
      </c>
      <c r="AJ399">
        <v>0</v>
      </c>
      <c r="AK399">
        <v>10</v>
      </c>
      <c r="AL399" t="s">
        <v>817</v>
      </c>
      <c r="AM399" t="s">
        <v>818</v>
      </c>
      <c r="AN399" t="s">
        <v>819</v>
      </c>
      <c r="AO399" t="s">
        <v>6326</v>
      </c>
      <c r="AP399" t="s">
        <v>74</v>
      </c>
      <c r="AQ399" t="s">
        <v>74</v>
      </c>
      <c r="AR399" t="s">
        <v>6327</v>
      </c>
      <c r="AS399" t="s">
        <v>6328</v>
      </c>
      <c r="AT399" t="s">
        <v>661</v>
      </c>
      <c r="AU399">
        <v>2007</v>
      </c>
      <c r="AV399">
        <v>26</v>
      </c>
      <c r="AW399" t="s">
        <v>94</v>
      </c>
      <c r="AX399" t="s">
        <v>74</v>
      </c>
      <c r="AY399" t="s">
        <v>74</v>
      </c>
      <c r="AZ399" t="s">
        <v>74</v>
      </c>
      <c r="BA399" t="s">
        <v>74</v>
      </c>
      <c r="BB399">
        <v>243</v>
      </c>
      <c r="BC399">
        <v>263</v>
      </c>
      <c r="BD399" t="s">
        <v>74</v>
      </c>
      <c r="BE399" t="s">
        <v>6381</v>
      </c>
      <c r="BF399" t="str">
        <f>HYPERLINK("http://dx.doi.org/10.1016/j.quascirev.2006.09.004","http://dx.doi.org/10.1016/j.quascirev.2006.09.004")</f>
        <v>http://dx.doi.org/10.1016/j.quascirev.2006.09.004</v>
      </c>
      <c r="BG399" t="s">
        <v>74</v>
      </c>
      <c r="BH399" t="s">
        <v>74</v>
      </c>
      <c r="BI399">
        <v>21</v>
      </c>
      <c r="BJ399" t="s">
        <v>663</v>
      </c>
      <c r="BK399" t="s">
        <v>97</v>
      </c>
      <c r="BL399" t="s">
        <v>664</v>
      </c>
      <c r="BM399" t="s">
        <v>6330</v>
      </c>
      <c r="BN399" t="s">
        <v>74</v>
      </c>
      <c r="BO399" t="s">
        <v>74</v>
      </c>
      <c r="BP399" t="s">
        <v>74</v>
      </c>
      <c r="BQ399" t="s">
        <v>74</v>
      </c>
      <c r="BR399" t="s">
        <v>100</v>
      </c>
      <c r="BS399" t="s">
        <v>6382</v>
      </c>
      <c r="BT399" t="str">
        <f>HYPERLINK("https%3A%2F%2Fwww.webofscience.com%2Fwos%2Fwoscc%2Ffull-record%2FWOS:000244024800017","View Full Record in Web of Science")</f>
        <v>View Full Record in Web of Science</v>
      </c>
    </row>
    <row r="400" spans="1:72" x14ac:dyDescent="0.15">
      <c r="A400" t="s">
        <v>241</v>
      </c>
      <c r="B400" t="s">
        <v>6383</v>
      </c>
      <c r="C400" t="s">
        <v>74</v>
      </c>
      <c r="D400" t="s">
        <v>6384</v>
      </c>
      <c r="E400" t="s">
        <v>74</v>
      </c>
      <c r="F400" t="s">
        <v>6385</v>
      </c>
      <c r="G400" t="s">
        <v>74</v>
      </c>
      <c r="H400" t="s">
        <v>74</v>
      </c>
      <c r="I400" t="s">
        <v>6386</v>
      </c>
      <c r="J400" t="s">
        <v>6387</v>
      </c>
      <c r="K400" t="s">
        <v>3173</v>
      </c>
      <c r="L400" t="s">
        <v>74</v>
      </c>
      <c r="M400" t="s">
        <v>78</v>
      </c>
      <c r="N400" t="s">
        <v>248</v>
      </c>
      <c r="O400" t="s">
        <v>6388</v>
      </c>
      <c r="P400" t="s">
        <v>6389</v>
      </c>
      <c r="Q400" t="s">
        <v>6390</v>
      </c>
      <c r="R400" t="s">
        <v>74</v>
      </c>
      <c r="S400" t="s">
        <v>74</v>
      </c>
      <c r="T400" t="s">
        <v>6391</v>
      </c>
      <c r="U400" t="s">
        <v>74</v>
      </c>
      <c r="V400" t="s">
        <v>6392</v>
      </c>
      <c r="W400" t="s">
        <v>6393</v>
      </c>
      <c r="X400" t="s">
        <v>6394</v>
      </c>
      <c r="Y400" t="s">
        <v>6395</v>
      </c>
      <c r="Z400" t="s">
        <v>74</v>
      </c>
      <c r="AA400" t="s">
        <v>74</v>
      </c>
      <c r="AB400" t="s">
        <v>74</v>
      </c>
      <c r="AC400" t="s">
        <v>6396</v>
      </c>
      <c r="AD400" t="s">
        <v>6397</v>
      </c>
      <c r="AE400" t="s">
        <v>6398</v>
      </c>
      <c r="AF400" t="s">
        <v>74</v>
      </c>
      <c r="AG400">
        <v>0</v>
      </c>
      <c r="AH400">
        <v>1</v>
      </c>
      <c r="AI400">
        <v>1</v>
      </c>
      <c r="AJ400">
        <v>0</v>
      </c>
      <c r="AK400">
        <v>4</v>
      </c>
      <c r="AL400" t="s">
        <v>2124</v>
      </c>
      <c r="AM400" t="s">
        <v>2125</v>
      </c>
      <c r="AN400" t="s">
        <v>2126</v>
      </c>
      <c r="AO400" t="s">
        <v>2127</v>
      </c>
      <c r="AP400" t="s">
        <v>74</v>
      </c>
      <c r="AQ400" t="s">
        <v>6399</v>
      </c>
      <c r="AR400" t="s">
        <v>3185</v>
      </c>
      <c r="AS400" t="s">
        <v>74</v>
      </c>
      <c r="AT400" t="s">
        <v>74</v>
      </c>
      <c r="AU400">
        <v>2007</v>
      </c>
      <c r="AV400">
        <v>6547</v>
      </c>
      <c r="AW400" t="s">
        <v>74</v>
      </c>
      <c r="AX400" t="s">
        <v>74</v>
      </c>
      <c r="AY400" t="s">
        <v>74</v>
      </c>
      <c r="AZ400" t="s">
        <v>74</v>
      </c>
      <c r="BA400" t="s">
        <v>74</v>
      </c>
      <c r="BB400" t="s">
        <v>74</v>
      </c>
      <c r="BC400" t="s">
        <v>74</v>
      </c>
      <c r="BD400">
        <v>654704</v>
      </c>
      <c r="BE400" t="s">
        <v>6400</v>
      </c>
      <c r="BF400" t="str">
        <f>HYPERLINK("http://dx.doi.org/10.1117/12.720539","http://dx.doi.org/10.1117/12.720539")</f>
        <v>http://dx.doi.org/10.1117/12.720539</v>
      </c>
      <c r="BG400" t="s">
        <v>74</v>
      </c>
      <c r="BH400" t="s">
        <v>74</v>
      </c>
      <c r="BI400">
        <v>10</v>
      </c>
      <c r="BJ400" t="s">
        <v>3225</v>
      </c>
      <c r="BK400" t="s">
        <v>266</v>
      </c>
      <c r="BL400" t="s">
        <v>3225</v>
      </c>
      <c r="BM400" t="s">
        <v>6401</v>
      </c>
      <c r="BN400" t="s">
        <v>74</v>
      </c>
      <c r="BO400" t="s">
        <v>74</v>
      </c>
      <c r="BP400" t="s">
        <v>74</v>
      </c>
      <c r="BQ400" t="s">
        <v>74</v>
      </c>
      <c r="BR400" t="s">
        <v>100</v>
      </c>
      <c r="BS400" t="s">
        <v>6402</v>
      </c>
      <c r="BT400" t="str">
        <f>HYPERLINK("https%3A%2F%2Fwww.webofscience.com%2Fwos%2Fwoscc%2Ffull-record%2FWOS:000248194500003","View Full Record in Web of Science")</f>
        <v>View Full Record in Web of Science</v>
      </c>
    </row>
    <row r="401" spans="1:72" x14ac:dyDescent="0.15">
      <c r="A401" t="s">
        <v>241</v>
      </c>
      <c r="B401" t="s">
        <v>6403</v>
      </c>
      <c r="C401" t="s">
        <v>74</v>
      </c>
      <c r="D401" t="s">
        <v>6404</v>
      </c>
      <c r="E401" t="s">
        <v>74</v>
      </c>
      <c r="F401" t="s">
        <v>6405</v>
      </c>
      <c r="G401" t="s">
        <v>74</v>
      </c>
      <c r="H401" t="s">
        <v>74</v>
      </c>
      <c r="I401" t="s">
        <v>6406</v>
      </c>
      <c r="J401" t="s">
        <v>6407</v>
      </c>
      <c r="K401" t="s">
        <v>74</v>
      </c>
      <c r="L401" t="s">
        <v>74</v>
      </c>
      <c r="M401" t="s">
        <v>78</v>
      </c>
      <c r="N401" t="s">
        <v>248</v>
      </c>
      <c r="O401" t="s">
        <v>6408</v>
      </c>
      <c r="P401" t="s">
        <v>6409</v>
      </c>
      <c r="Q401" t="s">
        <v>6410</v>
      </c>
      <c r="R401" t="s">
        <v>74</v>
      </c>
      <c r="S401" t="s">
        <v>6411</v>
      </c>
      <c r="T401" t="s">
        <v>74</v>
      </c>
      <c r="U401" t="s">
        <v>6412</v>
      </c>
      <c r="V401" t="s">
        <v>6413</v>
      </c>
      <c r="W401" t="s">
        <v>6414</v>
      </c>
      <c r="X401" t="s">
        <v>6415</v>
      </c>
      <c r="Y401" t="s">
        <v>6416</v>
      </c>
      <c r="Z401" t="s">
        <v>74</v>
      </c>
      <c r="AA401" t="s">
        <v>74</v>
      </c>
      <c r="AB401" t="s">
        <v>74</v>
      </c>
      <c r="AC401" t="s">
        <v>6417</v>
      </c>
      <c r="AD401" t="s">
        <v>6418</v>
      </c>
      <c r="AE401" t="s">
        <v>6419</v>
      </c>
      <c r="AF401" t="s">
        <v>74</v>
      </c>
      <c r="AG401">
        <v>7</v>
      </c>
      <c r="AH401">
        <v>0</v>
      </c>
      <c r="AI401">
        <v>0</v>
      </c>
      <c r="AJ401">
        <v>0</v>
      </c>
      <c r="AK401">
        <v>0</v>
      </c>
      <c r="AL401" t="s">
        <v>6420</v>
      </c>
      <c r="AM401" t="s">
        <v>6421</v>
      </c>
      <c r="AN401" t="s">
        <v>6422</v>
      </c>
      <c r="AO401" t="s">
        <v>74</v>
      </c>
      <c r="AP401" t="s">
        <v>74</v>
      </c>
      <c r="AQ401" t="s">
        <v>6423</v>
      </c>
      <c r="AR401" t="s">
        <v>74</v>
      </c>
      <c r="AS401" t="s">
        <v>74</v>
      </c>
      <c r="AT401" t="s">
        <v>74</v>
      </c>
      <c r="AU401">
        <v>2007</v>
      </c>
      <c r="AV401" t="s">
        <v>74</v>
      </c>
      <c r="AW401" t="s">
        <v>74</v>
      </c>
      <c r="AX401" t="s">
        <v>74</v>
      </c>
      <c r="AY401" t="s">
        <v>74</v>
      </c>
      <c r="AZ401" t="s">
        <v>74</v>
      </c>
      <c r="BA401" t="s">
        <v>74</v>
      </c>
      <c r="BB401">
        <v>21</v>
      </c>
      <c r="BC401" t="s">
        <v>617</v>
      </c>
      <c r="BD401" t="s">
        <v>74</v>
      </c>
      <c r="BE401" t="s">
        <v>74</v>
      </c>
      <c r="BF401" t="s">
        <v>74</v>
      </c>
      <c r="BG401" t="s">
        <v>74</v>
      </c>
      <c r="BH401" t="s">
        <v>74</v>
      </c>
      <c r="BI401">
        <v>2</v>
      </c>
      <c r="BJ401" t="s">
        <v>6424</v>
      </c>
      <c r="BK401" t="s">
        <v>266</v>
      </c>
      <c r="BL401" t="s">
        <v>6425</v>
      </c>
      <c r="BM401" t="s">
        <v>6426</v>
      </c>
      <c r="BN401" t="s">
        <v>74</v>
      </c>
      <c r="BO401" t="s">
        <v>74</v>
      </c>
      <c r="BP401" t="s">
        <v>74</v>
      </c>
      <c r="BQ401" t="s">
        <v>74</v>
      </c>
      <c r="BR401" t="s">
        <v>100</v>
      </c>
      <c r="BS401" t="s">
        <v>6427</v>
      </c>
      <c r="BT401" t="str">
        <f>HYPERLINK("https%3A%2F%2Fwww.webofscience.com%2Fwos%2Fwoscc%2Ffull-record%2FWOS:000248256100002","View Full Record in Web of Science")</f>
        <v>View Full Record in Web of Science</v>
      </c>
    </row>
    <row r="402" spans="1:72" x14ac:dyDescent="0.15">
      <c r="A402" t="s">
        <v>241</v>
      </c>
      <c r="B402" t="s">
        <v>6428</v>
      </c>
      <c r="C402" t="s">
        <v>74</v>
      </c>
      <c r="D402" t="s">
        <v>6404</v>
      </c>
      <c r="E402" t="s">
        <v>74</v>
      </c>
      <c r="F402" t="s">
        <v>6429</v>
      </c>
      <c r="G402" t="s">
        <v>74</v>
      </c>
      <c r="H402" t="s">
        <v>74</v>
      </c>
      <c r="I402" t="s">
        <v>6430</v>
      </c>
      <c r="J402" t="s">
        <v>6407</v>
      </c>
      <c r="K402" t="s">
        <v>74</v>
      </c>
      <c r="L402" t="s">
        <v>74</v>
      </c>
      <c r="M402" t="s">
        <v>78</v>
      </c>
      <c r="N402" t="s">
        <v>248</v>
      </c>
      <c r="O402" t="s">
        <v>6408</v>
      </c>
      <c r="P402" t="s">
        <v>6409</v>
      </c>
      <c r="Q402" t="s">
        <v>6410</v>
      </c>
      <c r="R402" t="s">
        <v>74</v>
      </c>
      <c r="S402" t="s">
        <v>6411</v>
      </c>
      <c r="T402" t="s">
        <v>74</v>
      </c>
      <c r="U402" t="s">
        <v>6431</v>
      </c>
      <c r="V402" t="s">
        <v>6432</v>
      </c>
      <c r="W402" t="s">
        <v>6433</v>
      </c>
      <c r="X402" t="s">
        <v>6434</v>
      </c>
      <c r="Y402" t="s">
        <v>6435</v>
      </c>
      <c r="Z402" t="s">
        <v>74</v>
      </c>
      <c r="AA402" t="s">
        <v>6436</v>
      </c>
      <c r="AB402" t="s">
        <v>6437</v>
      </c>
      <c r="AC402" t="s">
        <v>6438</v>
      </c>
      <c r="AD402" t="s">
        <v>6439</v>
      </c>
      <c r="AE402" t="s">
        <v>6440</v>
      </c>
      <c r="AF402" t="s">
        <v>74</v>
      </c>
      <c r="AG402">
        <v>14</v>
      </c>
      <c r="AH402">
        <v>0</v>
      </c>
      <c r="AI402">
        <v>0</v>
      </c>
      <c r="AJ402">
        <v>0</v>
      </c>
      <c r="AK402">
        <v>2</v>
      </c>
      <c r="AL402" t="s">
        <v>6420</v>
      </c>
      <c r="AM402" t="s">
        <v>6421</v>
      </c>
      <c r="AN402" t="s">
        <v>6422</v>
      </c>
      <c r="AO402" t="s">
        <v>74</v>
      </c>
      <c r="AP402" t="s">
        <v>74</v>
      </c>
      <c r="AQ402" t="s">
        <v>6423</v>
      </c>
      <c r="AR402" t="s">
        <v>74</v>
      </c>
      <c r="AS402" t="s">
        <v>74</v>
      </c>
      <c r="AT402" t="s">
        <v>74</v>
      </c>
      <c r="AU402">
        <v>2007</v>
      </c>
      <c r="AV402" t="s">
        <v>74</v>
      </c>
      <c r="AW402" t="s">
        <v>74</v>
      </c>
      <c r="AX402" t="s">
        <v>74</v>
      </c>
      <c r="AY402" t="s">
        <v>74</v>
      </c>
      <c r="AZ402" t="s">
        <v>74</v>
      </c>
      <c r="BA402" t="s">
        <v>74</v>
      </c>
      <c r="BB402">
        <v>384</v>
      </c>
      <c r="BC402" t="s">
        <v>617</v>
      </c>
      <c r="BD402" t="s">
        <v>74</v>
      </c>
      <c r="BE402" t="s">
        <v>74</v>
      </c>
      <c r="BF402" t="s">
        <v>74</v>
      </c>
      <c r="BG402" t="s">
        <v>74</v>
      </c>
      <c r="BH402" t="s">
        <v>74</v>
      </c>
      <c r="BI402">
        <v>3</v>
      </c>
      <c r="BJ402" t="s">
        <v>6424</v>
      </c>
      <c r="BK402" t="s">
        <v>266</v>
      </c>
      <c r="BL402" t="s">
        <v>6425</v>
      </c>
      <c r="BM402" t="s">
        <v>6426</v>
      </c>
      <c r="BN402" t="s">
        <v>74</v>
      </c>
      <c r="BO402" t="s">
        <v>74</v>
      </c>
      <c r="BP402" t="s">
        <v>74</v>
      </c>
      <c r="BQ402" t="s">
        <v>74</v>
      </c>
      <c r="BR402" t="s">
        <v>100</v>
      </c>
      <c r="BS402" t="s">
        <v>6441</v>
      </c>
      <c r="BT402" t="str">
        <f>HYPERLINK("https%3A%2F%2Fwww.webofscience.com%2Fwos%2Fwoscc%2Ffull-record%2FWOS:000248256100036","View Full Record in Web of Science")</f>
        <v>View Full Record in Web of Science</v>
      </c>
    </row>
    <row r="403" spans="1:72" x14ac:dyDescent="0.15">
      <c r="A403" t="s">
        <v>241</v>
      </c>
      <c r="B403" t="s">
        <v>6442</v>
      </c>
      <c r="C403" t="s">
        <v>74</v>
      </c>
      <c r="D403" t="s">
        <v>6404</v>
      </c>
      <c r="E403" t="s">
        <v>74</v>
      </c>
      <c r="F403" t="s">
        <v>6443</v>
      </c>
      <c r="G403" t="s">
        <v>74</v>
      </c>
      <c r="H403" t="s">
        <v>74</v>
      </c>
      <c r="I403" t="s">
        <v>6444</v>
      </c>
      <c r="J403" t="s">
        <v>6445</v>
      </c>
      <c r="K403" t="s">
        <v>74</v>
      </c>
      <c r="L403" t="s">
        <v>74</v>
      </c>
      <c r="M403" t="s">
        <v>78</v>
      </c>
      <c r="N403" t="s">
        <v>248</v>
      </c>
      <c r="O403" t="s">
        <v>6408</v>
      </c>
      <c r="P403" t="s">
        <v>6409</v>
      </c>
      <c r="Q403" t="s">
        <v>6410</v>
      </c>
      <c r="R403" t="s">
        <v>74</v>
      </c>
      <c r="S403" t="s">
        <v>6411</v>
      </c>
      <c r="T403" t="s">
        <v>74</v>
      </c>
      <c r="U403" t="s">
        <v>74</v>
      </c>
      <c r="V403" t="s">
        <v>6446</v>
      </c>
      <c r="W403" t="s">
        <v>6018</v>
      </c>
      <c r="X403" t="s">
        <v>6019</v>
      </c>
      <c r="Y403" t="s">
        <v>6447</v>
      </c>
      <c r="Z403" t="s">
        <v>74</v>
      </c>
      <c r="AA403" t="s">
        <v>74</v>
      </c>
      <c r="AB403" t="s">
        <v>6448</v>
      </c>
      <c r="AC403" t="s">
        <v>74</v>
      </c>
      <c r="AD403" t="s">
        <v>74</v>
      </c>
      <c r="AE403" t="s">
        <v>74</v>
      </c>
      <c r="AF403" t="s">
        <v>74</v>
      </c>
      <c r="AG403">
        <v>5</v>
      </c>
      <c r="AH403">
        <v>0</v>
      </c>
      <c r="AI403">
        <v>0</v>
      </c>
      <c r="AJ403">
        <v>0</v>
      </c>
      <c r="AK403">
        <v>0</v>
      </c>
      <c r="AL403" t="s">
        <v>6420</v>
      </c>
      <c r="AM403" t="s">
        <v>6421</v>
      </c>
      <c r="AN403" t="s">
        <v>6422</v>
      </c>
      <c r="AO403" t="s">
        <v>74</v>
      </c>
      <c r="AP403" t="s">
        <v>74</v>
      </c>
      <c r="AQ403" t="s">
        <v>6423</v>
      </c>
      <c r="AR403" t="s">
        <v>74</v>
      </c>
      <c r="AS403" t="s">
        <v>74</v>
      </c>
      <c r="AT403" t="s">
        <v>74</v>
      </c>
      <c r="AU403">
        <v>2007</v>
      </c>
      <c r="AV403" t="s">
        <v>74</v>
      </c>
      <c r="AW403" t="s">
        <v>74</v>
      </c>
      <c r="AX403" t="s">
        <v>74</v>
      </c>
      <c r="AY403" t="s">
        <v>74</v>
      </c>
      <c r="AZ403" t="s">
        <v>74</v>
      </c>
      <c r="BA403" t="s">
        <v>74</v>
      </c>
      <c r="BB403">
        <v>504</v>
      </c>
      <c r="BC403">
        <v>509</v>
      </c>
      <c r="BD403" t="s">
        <v>74</v>
      </c>
      <c r="BE403" t="s">
        <v>74</v>
      </c>
      <c r="BF403" t="s">
        <v>74</v>
      </c>
      <c r="BG403" t="s">
        <v>74</v>
      </c>
      <c r="BH403" t="s">
        <v>74</v>
      </c>
      <c r="BI403">
        <v>6</v>
      </c>
      <c r="BJ403" t="s">
        <v>6424</v>
      </c>
      <c r="BK403" t="s">
        <v>266</v>
      </c>
      <c r="BL403" t="s">
        <v>6425</v>
      </c>
      <c r="BM403" t="s">
        <v>6426</v>
      </c>
      <c r="BN403" t="s">
        <v>74</v>
      </c>
      <c r="BO403" t="s">
        <v>74</v>
      </c>
      <c r="BP403" t="s">
        <v>74</v>
      </c>
      <c r="BQ403" t="s">
        <v>74</v>
      </c>
      <c r="BR403" t="s">
        <v>100</v>
      </c>
      <c r="BS403" t="s">
        <v>6449</v>
      </c>
      <c r="BT403" t="str">
        <f>HYPERLINK("https%3A%2F%2Fwww.webofscience.com%2Fwos%2Fwoscc%2Ffull-record%2FWOS:000248256100046","View Full Record in Web of Science")</f>
        <v>View Full Record in Web of Science</v>
      </c>
    </row>
    <row r="404" spans="1:72" x14ac:dyDescent="0.15">
      <c r="A404" t="s">
        <v>241</v>
      </c>
      <c r="B404" t="s">
        <v>6450</v>
      </c>
      <c r="C404" t="s">
        <v>74</v>
      </c>
      <c r="D404" t="s">
        <v>6404</v>
      </c>
      <c r="E404" t="s">
        <v>74</v>
      </c>
      <c r="F404" t="s">
        <v>6451</v>
      </c>
      <c r="G404" t="s">
        <v>74</v>
      </c>
      <c r="H404" t="s">
        <v>74</v>
      </c>
      <c r="I404" t="s">
        <v>6452</v>
      </c>
      <c r="J404" t="s">
        <v>6407</v>
      </c>
      <c r="K404" t="s">
        <v>74</v>
      </c>
      <c r="L404" t="s">
        <v>74</v>
      </c>
      <c r="M404" t="s">
        <v>78</v>
      </c>
      <c r="N404" t="s">
        <v>248</v>
      </c>
      <c r="O404" t="s">
        <v>6408</v>
      </c>
      <c r="P404" t="s">
        <v>6409</v>
      </c>
      <c r="Q404" t="s">
        <v>6410</v>
      </c>
      <c r="R404" t="s">
        <v>74</v>
      </c>
      <c r="S404" t="s">
        <v>6411</v>
      </c>
      <c r="T404" t="s">
        <v>74</v>
      </c>
      <c r="U404" t="s">
        <v>74</v>
      </c>
      <c r="V404" t="s">
        <v>6453</v>
      </c>
      <c r="W404" t="s">
        <v>6454</v>
      </c>
      <c r="X404" t="s">
        <v>6019</v>
      </c>
      <c r="Y404" t="s">
        <v>6455</v>
      </c>
      <c r="Z404" t="s">
        <v>74</v>
      </c>
      <c r="AA404" t="s">
        <v>74</v>
      </c>
      <c r="AB404" t="s">
        <v>6448</v>
      </c>
      <c r="AC404" t="s">
        <v>74</v>
      </c>
      <c r="AD404" t="s">
        <v>74</v>
      </c>
      <c r="AE404" t="s">
        <v>74</v>
      </c>
      <c r="AF404" t="s">
        <v>74</v>
      </c>
      <c r="AG404">
        <v>5</v>
      </c>
      <c r="AH404">
        <v>0</v>
      </c>
      <c r="AI404">
        <v>0</v>
      </c>
      <c r="AJ404">
        <v>0</v>
      </c>
      <c r="AK404">
        <v>0</v>
      </c>
      <c r="AL404" t="s">
        <v>6420</v>
      </c>
      <c r="AM404" t="s">
        <v>6421</v>
      </c>
      <c r="AN404" t="s">
        <v>6422</v>
      </c>
      <c r="AO404" t="s">
        <v>74</v>
      </c>
      <c r="AP404" t="s">
        <v>74</v>
      </c>
      <c r="AQ404" t="s">
        <v>6423</v>
      </c>
      <c r="AR404" t="s">
        <v>74</v>
      </c>
      <c r="AS404" t="s">
        <v>74</v>
      </c>
      <c r="AT404" t="s">
        <v>74</v>
      </c>
      <c r="AU404">
        <v>2007</v>
      </c>
      <c r="AV404" t="s">
        <v>74</v>
      </c>
      <c r="AW404" t="s">
        <v>74</v>
      </c>
      <c r="AX404" t="s">
        <v>74</v>
      </c>
      <c r="AY404" t="s">
        <v>74</v>
      </c>
      <c r="AZ404" t="s">
        <v>74</v>
      </c>
      <c r="BA404" t="s">
        <v>74</v>
      </c>
      <c r="BB404">
        <v>510</v>
      </c>
      <c r="BC404" t="s">
        <v>617</v>
      </c>
      <c r="BD404" t="s">
        <v>74</v>
      </c>
      <c r="BE404" t="s">
        <v>74</v>
      </c>
      <c r="BF404" t="s">
        <v>74</v>
      </c>
      <c r="BG404" t="s">
        <v>74</v>
      </c>
      <c r="BH404" t="s">
        <v>74</v>
      </c>
      <c r="BI404">
        <v>3</v>
      </c>
      <c r="BJ404" t="s">
        <v>6424</v>
      </c>
      <c r="BK404" t="s">
        <v>266</v>
      </c>
      <c r="BL404" t="s">
        <v>6425</v>
      </c>
      <c r="BM404" t="s">
        <v>6426</v>
      </c>
      <c r="BN404" t="s">
        <v>74</v>
      </c>
      <c r="BO404" t="s">
        <v>74</v>
      </c>
      <c r="BP404" t="s">
        <v>74</v>
      </c>
      <c r="BQ404" t="s">
        <v>74</v>
      </c>
      <c r="BR404" t="s">
        <v>100</v>
      </c>
      <c r="BS404" t="s">
        <v>6456</v>
      </c>
      <c r="BT404" t="str">
        <f>HYPERLINK("https%3A%2F%2Fwww.webofscience.com%2Fwos%2Fwoscc%2Ffull-record%2FWOS:000248256100047","View Full Record in Web of Science")</f>
        <v>View Full Record in Web of Science</v>
      </c>
    </row>
    <row r="405" spans="1:72" x14ac:dyDescent="0.15">
      <c r="A405" t="s">
        <v>241</v>
      </c>
      <c r="B405" t="s">
        <v>6457</v>
      </c>
      <c r="C405" t="s">
        <v>74</v>
      </c>
      <c r="D405" t="s">
        <v>6404</v>
      </c>
      <c r="E405" t="s">
        <v>74</v>
      </c>
      <c r="F405" t="s">
        <v>6458</v>
      </c>
      <c r="G405" t="s">
        <v>74</v>
      </c>
      <c r="H405" t="s">
        <v>74</v>
      </c>
      <c r="I405" t="s">
        <v>6459</v>
      </c>
      <c r="J405" t="s">
        <v>6407</v>
      </c>
      <c r="K405" t="s">
        <v>74</v>
      </c>
      <c r="L405" t="s">
        <v>74</v>
      </c>
      <c r="M405" t="s">
        <v>78</v>
      </c>
      <c r="N405" t="s">
        <v>248</v>
      </c>
      <c r="O405" t="s">
        <v>6408</v>
      </c>
      <c r="P405" t="s">
        <v>6409</v>
      </c>
      <c r="Q405" t="s">
        <v>6410</v>
      </c>
      <c r="R405" t="s">
        <v>74</v>
      </c>
      <c r="S405" t="s">
        <v>6411</v>
      </c>
      <c r="T405" t="s">
        <v>74</v>
      </c>
      <c r="U405" t="s">
        <v>74</v>
      </c>
      <c r="V405" t="s">
        <v>6460</v>
      </c>
      <c r="W405" t="s">
        <v>6461</v>
      </c>
      <c r="X405" t="s">
        <v>6462</v>
      </c>
      <c r="Y405" t="s">
        <v>6463</v>
      </c>
      <c r="Z405" t="s">
        <v>74</v>
      </c>
      <c r="AA405" t="s">
        <v>6464</v>
      </c>
      <c r="AB405" t="s">
        <v>6465</v>
      </c>
      <c r="AC405" t="s">
        <v>6466</v>
      </c>
      <c r="AD405" t="s">
        <v>6467</v>
      </c>
      <c r="AE405" t="s">
        <v>6468</v>
      </c>
      <c r="AF405" t="s">
        <v>74</v>
      </c>
      <c r="AG405">
        <v>12</v>
      </c>
      <c r="AH405">
        <v>2</v>
      </c>
      <c r="AI405">
        <v>2</v>
      </c>
      <c r="AJ405">
        <v>0</v>
      </c>
      <c r="AK405">
        <v>0</v>
      </c>
      <c r="AL405" t="s">
        <v>6420</v>
      </c>
      <c r="AM405" t="s">
        <v>6421</v>
      </c>
      <c r="AN405" t="s">
        <v>6422</v>
      </c>
      <c r="AO405" t="s">
        <v>74</v>
      </c>
      <c r="AP405" t="s">
        <v>74</v>
      </c>
      <c r="AQ405" t="s">
        <v>6423</v>
      </c>
      <c r="AR405" t="s">
        <v>74</v>
      </c>
      <c r="AS405" t="s">
        <v>74</v>
      </c>
      <c r="AT405" t="s">
        <v>74</v>
      </c>
      <c r="AU405">
        <v>2007</v>
      </c>
      <c r="AV405" t="s">
        <v>74</v>
      </c>
      <c r="AW405" t="s">
        <v>74</v>
      </c>
      <c r="AX405" t="s">
        <v>74</v>
      </c>
      <c r="AY405" t="s">
        <v>74</v>
      </c>
      <c r="AZ405" t="s">
        <v>74</v>
      </c>
      <c r="BA405" t="s">
        <v>74</v>
      </c>
      <c r="BB405">
        <v>548</v>
      </c>
      <c r="BC405" t="s">
        <v>617</v>
      </c>
      <c r="BD405" t="s">
        <v>74</v>
      </c>
      <c r="BE405" t="s">
        <v>74</v>
      </c>
      <c r="BF405" t="s">
        <v>74</v>
      </c>
      <c r="BG405" t="s">
        <v>74</v>
      </c>
      <c r="BH405" t="s">
        <v>74</v>
      </c>
      <c r="BI405">
        <v>3</v>
      </c>
      <c r="BJ405" t="s">
        <v>6424</v>
      </c>
      <c r="BK405" t="s">
        <v>266</v>
      </c>
      <c r="BL405" t="s">
        <v>6425</v>
      </c>
      <c r="BM405" t="s">
        <v>6426</v>
      </c>
      <c r="BN405" t="s">
        <v>74</v>
      </c>
      <c r="BO405" t="s">
        <v>74</v>
      </c>
      <c r="BP405" t="s">
        <v>74</v>
      </c>
      <c r="BQ405" t="s">
        <v>74</v>
      </c>
      <c r="BR405" t="s">
        <v>100</v>
      </c>
      <c r="BS405" t="s">
        <v>6469</v>
      </c>
      <c r="BT405" t="str">
        <f>HYPERLINK("https%3A%2F%2Fwww.webofscience.com%2Fwos%2Fwoscc%2Ffull-record%2FWOS:000248256100051","View Full Record in Web of Science")</f>
        <v>View Full Record in Web of Science</v>
      </c>
    </row>
    <row r="406" spans="1:72" x14ac:dyDescent="0.15">
      <c r="A406" t="s">
        <v>241</v>
      </c>
      <c r="B406" t="s">
        <v>6470</v>
      </c>
      <c r="C406" t="s">
        <v>74</v>
      </c>
      <c r="D406" t="s">
        <v>6404</v>
      </c>
      <c r="E406" t="s">
        <v>74</v>
      </c>
      <c r="F406" t="s">
        <v>6471</v>
      </c>
      <c r="G406" t="s">
        <v>74</v>
      </c>
      <c r="H406" t="s">
        <v>74</v>
      </c>
      <c r="I406" t="s">
        <v>6472</v>
      </c>
      <c r="J406" t="s">
        <v>6407</v>
      </c>
      <c r="K406" t="s">
        <v>74</v>
      </c>
      <c r="L406" t="s">
        <v>74</v>
      </c>
      <c r="M406" t="s">
        <v>78</v>
      </c>
      <c r="N406" t="s">
        <v>248</v>
      </c>
      <c r="O406" t="s">
        <v>6408</v>
      </c>
      <c r="P406" t="s">
        <v>6409</v>
      </c>
      <c r="Q406" t="s">
        <v>6410</v>
      </c>
      <c r="R406" t="s">
        <v>74</v>
      </c>
      <c r="S406" t="s">
        <v>6411</v>
      </c>
      <c r="T406" t="s">
        <v>74</v>
      </c>
      <c r="U406" t="s">
        <v>6473</v>
      </c>
      <c r="V406" t="s">
        <v>6474</v>
      </c>
      <c r="W406" t="s">
        <v>6475</v>
      </c>
      <c r="X406" t="s">
        <v>6476</v>
      </c>
      <c r="Y406" t="s">
        <v>6477</v>
      </c>
      <c r="Z406" t="s">
        <v>74</v>
      </c>
      <c r="AA406" t="s">
        <v>6478</v>
      </c>
      <c r="AB406" t="s">
        <v>6479</v>
      </c>
      <c r="AC406" t="s">
        <v>6480</v>
      </c>
      <c r="AD406" t="s">
        <v>6481</v>
      </c>
      <c r="AE406" t="s">
        <v>6482</v>
      </c>
      <c r="AF406" t="s">
        <v>74</v>
      </c>
      <c r="AG406">
        <v>8</v>
      </c>
      <c r="AH406">
        <v>0</v>
      </c>
      <c r="AI406">
        <v>0</v>
      </c>
      <c r="AJ406">
        <v>0</v>
      </c>
      <c r="AK406">
        <v>3</v>
      </c>
      <c r="AL406" t="s">
        <v>6420</v>
      </c>
      <c r="AM406" t="s">
        <v>6421</v>
      </c>
      <c r="AN406" t="s">
        <v>6422</v>
      </c>
      <c r="AO406" t="s">
        <v>74</v>
      </c>
      <c r="AP406" t="s">
        <v>74</v>
      </c>
      <c r="AQ406" t="s">
        <v>6423</v>
      </c>
      <c r="AR406" t="s">
        <v>74</v>
      </c>
      <c r="AS406" t="s">
        <v>74</v>
      </c>
      <c r="AT406" t="s">
        <v>74</v>
      </c>
      <c r="AU406">
        <v>2007</v>
      </c>
      <c r="AV406" t="s">
        <v>74</v>
      </c>
      <c r="AW406" t="s">
        <v>74</v>
      </c>
      <c r="AX406" t="s">
        <v>74</v>
      </c>
      <c r="AY406" t="s">
        <v>74</v>
      </c>
      <c r="AZ406" t="s">
        <v>74</v>
      </c>
      <c r="BA406" t="s">
        <v>74</v>
      </c>
      <c r="BB406">
        <v>567</v>
      </c>
      <c r="BC406" t="s">
        <v>617</v>
      </c>
      <c r="BD406" t="s">
        <v>74</v>
      </c>
      <c r="BE406" t="s">
        <v>74</v>
      </c>
      <c r="BF406" t="s">
        <v>74</v>
      </c>
      <c r="BG406" t="s">
        <v>74</v>
      </c>
      <c r="BH406" t="s">
        <v>74</v>
      </c>
      <c r="BI406">
        <v>3</v>
      </c>
      <c r="BJ406" t="s">
        <v>6424</v>
      </c>
      <c r="BK406" t="s">
        <v>266</v>
      </c>
      <c r="BL406" t="s">
        <v>6425</v>
      </c>
      <c r="BM406" t="s">
        <v>6426</v>
      </c>
      <c r="BN406" t="s">
        <v>74</v>
      </c>
      <c r="BO406" t="s">
        <v>74</v>
      </c>
      <c r="BP406" t="s">
        <v>74</v>
      </c>
      <c r="BQ406" t="s">
        <v>74</v>
      </c>
      <c r="BR406" t="s">
        <v>100</v>
      </c>
      <c r="BS406" t="s">
        <v>6483</v>
      </c>
      <c r="BT406" t="str">
        <f>HYPERLINK("https%3A%2F%2Fwww.webofscience.com%2Fwos%2Fwoscc%2Ffull-record%2FWOS:000248256100052","View Full Record in Web of Science")</f>
        <v>View Full Record in Web of Science</v>
      </c>
    </row>
    <row r="407" spans="1:72" x14ac:dyDescent="0.15">
      <c r="A407" t="s">
        <v>241</v>
      </c>
      <c r="B407" t="s">
        <v>6484</v>
      </c>
      <c r="C407" t="s">
        <v>74</v>
      </c>
      <c r="D407" t="s">
        <v>6404</v>
      </c>
      <c r="E407" t="s">
        <v>74</v>
      </c>
      <c r="F407" t="s">
        <v>6485</v>
      </c>
      <c r="G407" t="s">
        <v>74</v>
      </c>
      <c r="H407" t="s">
        <v>74</v>
      </c>
      <c r="I407" t="s">
        <v>6486</v>
      </c>
      <c r="J407" t="s">
        <v>6407</v>
      </c>
      <c r="K407" t="s">
        <v>74</v>
      </c>
      <c r="L407" t="s">
        <v>74</v>
      </c>
      <c r="M407" t="s">
        <v>78</v>
      </c>
      <c r="N407" t="s">
        <v>248</v>
      </c>
      <c r="O407" t="s">
        <v>6408</v>
      </c>
      <c r="P407" t="s">
        <v>6409</v>
      </c>
      <c r="Q407" t="s">
        <v>6410</v>
      </c>
      <c r="R407" t="s">
        <v>74</v>
      </c>
      <c r="S407" t="s">
        <v>6411</v>
      </c>
      <c r="T407" t="s">
        <v>74</v>
      </c>
      <c r="U407" t="s">
        <v>6487</v>
      </c>
      <c r="V407" t="s">
        <v>6488</v>
      </c>
      <c r="W407" t="s">
        <v>6489</v>
      </c>
      <c r="X407" t="s">
        <v>6490</v>
      </c>
      <c r="Y407" t="s">
        <v>6491</v>
      </c>
      <c r="Z407" t="s">
        <v>74</v>
      </c>
      <c r="AA407" t="s">
        <v>74</v>
      </c>
      <c r="AB407" t="s">
        <v>74</v>
      </c>
      <c r="AC407" t="s">
        <v>6492</v>
      </c>
      <c r="AD407" t="s">
        <v>6493</v>
      </c>
      <c r="AE407" t="s">
        <v>6494</v>
      </c>
      <c r="AF407" t="s">
        <v>74</v>
      </c>
      <c r="AG407">
        <v>23</v>
      </c>
      <c r="AH407">
        <v>0</v>
      </c>
      <c r="AI407">
        <v>0</v>
      </c>
      <c r="AJ407">
        <v>1</v>
      </c>
      <c r="AK407">
        <v>2</v>
      </c>
      <c r="AL407" t="s">
        <v>6420</v>
      </c>
      <c r="AM407" t="s">
        <v>6421</v>
      </c>
      <c r="AN407" t="s">
        <v>6422</v>
      </c>
      <c r="AO407" t="s">
        <v>74</v>
      </c>
      <c r="AP407" t="s">
        <v>74</v>
      </c>
      <c r="AQ407" t="s">
        <v>6423</v>
      </c>
      <c r="AR407" t="s">
        <v>74</v>
      </c>
      <c r="AS407" t="s">
        <v>74</v>
      </c>
      <c r="AT407" t="s">
        <v>74</v>
      </c>
      <c r="AU407">
        <v>2007</v>
      </c>
      <c r="AV407" t="s">
        <v>74</v>
      </c>
      <c r="AW407" t="s">
        <v>74</v>
      </c>
      <c r="AX407" t="s">
        <v>74</v>
      </c>
      <c r="AY407" t="s">
        <v>74</v>
      </c>
      <c r="AZ407" t="s">
        <v>74</v>
      </c>
      <c r="BA407" t="s">
        <v>74</v>
      </c>
      <c r="BB407">
        <v>590</v>
      </c>
      <c r="BC407" t="s">
        <v>617</v>
      </c>
      <c r="BD407" t="s">
        <v>74</v>
      </c>
      <c r="BE407" t="s">
        <v>74</v>
      </c>
      <c r="BF407" t="s">
        <v>74</v>
      </c>
      <c r="BG407" t="s">
        <v>74</v>
      </c>
      <c r="BH407" t="s">
        <v>74</v>
      </c>
      <c r="BI407">
        <v>4</v>
      </c>
      <c r="BJ407" t="s">
        <v>6424</v>
      </c>
      <c r="BK407" t="s">
        <v>266</v>
      </c>
      <c r="BL407" t="s">
        <v>6425</v>
      </c>
      <c r="BM407" t="s">
        <v>6426</v>
      </c>
      <c r="BN407" t="s">
        <v>74</v>
      </c>
      <c r="BO407" t="s">
        <v>74</v>
      </c>
      <c r="BP407" t="s">
        <v>74</v>
      </c>
      <c r="BQ407" t="s">
        <v>74</v>
      </c>
      <c r="BR407" t="s">
        <v>100</v>
      </c>
      <c r="BS407" t="s">
        <v>6495</v>
      </c>
      <c r="BT407" t="str">
        <f>HYPERLINK("https%3A%2F%2Fwww.webofscience.com%2Fwos%2Fwoscc%2Ffull-record%2FWOS:000248256100054","View Full Record in Web of Science")</f>
        <v>View Full Record in Web of Science</v>
      </c>
    </row>
    <row r="408" spans="1:72" x14ac:dyDescent="0.15">
      <c r="A408" t="s">
        <v>241</v>
      </c>
      <c r="B408" t="s">
        <v>6496</v>
      </c>
      <c r="C408" t="s">
        <v>74</v>
      </c>
      <c r="D408" t="s">
        <v>6404</v>
      </c>
      <c r="E408" t="s">
        <v>74</v>
      </c>
      <c r="F408" t="s">
        <v>6497</v>
      </c>
      <c r="G408" t="s">
        <v>74</v>
      </c>
      <c r="H408" t="s">
        <v>74</v>
      </c>
      <c r="I408" t="s">
        <v>6498</v>
      </c>
      <c r="J408" t="s">
        <v>6407</v>
      </c>
      <c r="K408" t="s">
        <v>74</v>
      </c>
      <c r="L408" t="s">
        <v>74</v>
      </c>
      <c r="M408" t="s">
        <v>78</v>
      </c>
      <c r="N408" t="s">
        <v>248</v>
      </c>
      <c r="O408" t="s">
        <v>6408</v>
      </c>
      <c r="P408" t="s">
        <v>6409</v>
      </c>
      <c r="Q408" t="s">
        <v>6410</v>
      </c>
      <c r="R408" t="s">
        <v>74</v>
      </c>
      <c r="S408" t="s">
        <v>6411</v>
      </c>
      <c r="T408" t="s">
        <v>74</v>
      </c>
      <c r="U408" t="s">
        <v>74</v>
      </c>
      <c r="V408" t="s">
        <v>6499</v>
      </c>
      <c r="W408" t="s">
        <v>6500</v>
      </c>
      <c r="X408" t="s">
        <v>6501</v>
      </c>
      <c r="Y408" t="s">
        <v>6502</v>
      </c>
      <c r="Z408" t="s">
        <v>74</v>
      </c>
      <c r="AA408" t="s">
        <v>6503</v>
      </c>
      <c r="AB408" t="s">
        <v>6504</v>
      </c>
      <c r="AC408" t="s">
        <v>6480</v>
      </c>
      <c r="AD408" t="s">
        <v>6481</v>
      </c>
      <c r="AE408" t="s">
        <v>6505</v>
      </c>
      <c r="AF408" t="s">
        <v>74</v>
      </c>
      <c r="AG408">
        <v>4</v>
      </c>
      <c r="AH408">
        <v>0</v>
      </c>
      <c r="AI408">
        <v>1</v>
      </c>
      <c r="AJ408">
        <v>0</v>
      </c>
      <c r="AK408">
        <v>0</v>
      </c>
      <c r="AL408" t="s">
        <v>6420</v>
      </c>
      <c r="AM408" t="s">
        <v>6421</v>
      </c>
      <c r="AN408" t="s">
        <v>6422</v>
      </c>
      <c r="AO408" t="s">
        <v>74</v>
      </c>
      <c r="AP408" t="s">
        <v>74</v>
      </c>
      <c r="AQ408" t="s">
        <v>6423</v>
      </c>
      <c r="AR408" t="s">
        <v>74</v>
      </c>
      <c r="AS408" t="s">
        <v>74</v>
      </c>
      <c r="AT408" t="s">
        <v>74</v>
      </c>
      <c r="AU408">
        <v>2007</v>
      </c>
      <c r="AV408" t="s">
        <v>74</v>
      </c>
      <c r="AW408" t="s">
        <v>74</v>
      </c>
      <c r="AX408" t="s">
        <v>74</v>
      </c>
      <c r="AY408" t="s">
        <v>74</v>
      </c>
      <c r="AZ408" t="s">
        <v>74</v>
      </c>
      <c r="BA408" t="s">
        <v>74</v>
      </c>
      <c r="BB408">
        <v>648</v>
      </c>
      <c r="BC408" t="s">
        <v>617</v>
      </c>
      <c r="BD408" t="s">
        <v>74</v>
      </c>
      <c r="BE408" t="s">
        <v>74</v>
      </c>
      <c r="BF408" t="s">
        <v>74</v>
      </c>
      <c r="BG408" t="s">
        <v>74</v>
      </c>
      <c r="BH408" t="s">
        <v>74</v>
      </c>
      <c r="BI408">
        <v>2</v>
      </c>
      <c r="BJ408" t="s">
        <v>6424</v>
      </c>
      <c r="BK408" t="s">
        <v>266</v>
      </c>
      <c r="BL408" t="s">
        <v>6425</v>
      </c>
      <c r="BM408" t="s">
        <v>6426</v>
      </c>
      <c r="BN408" t="s">
        <v>74</v>
      </c>
      <c r="BO408" t="s">
        <v>74</v>
      </c>
      <c r="BP408" t="s">
        <v>74</v>
      </c>
      <c r="BQ408" t="s">
        <v>74</v>
      </c>
      <c r="BR408" t="s">
        <v>100</v>
      </c>
      <c r="BS408" t="s">
        <v>6506</v>
      </c>
      <c r="BT408" t="str">
        <f>HYPERLINK("https%3A%2F%2Fwww.webofscience.com%2Fwos%2Fwoscc%2Ffull-record%2FWOS:000248256100060","View Full Record in Web of Science")</f>
        <v>View Full Record in Web of Science</v>
      </c>
    </row>
    <row r="409" spans="1:72" x14ac:dyDescent="0.15">
      <c r="A409" t="s">
        <v>241</v>
      </c>
      <c r="B409" t="s">
        <v>6507</v>
      </c>
      <c r="C409" t="s">
        <v>74</v>
      </c>
      <c r="D409" t="s">
        <v>6508</v>
      </c>
      <c r="E409" t="s">
        <v>74</v>
      </c>
      <c r="F409" t="s">
        <v>6509</v>
      </c>
      <c r="G409" t="s">
        <v>74</v>
      </c>
      <c r="H409" t="s">
        <v>74</v>
      </c>
      <c r="I409" t="s">
        <v>6510</v>
      </c>
      <c r="J409" t="s">
        <v>6511</v>
      </c>
      <c r="K409" t="s">
        <v>3173</v>
      </c>
      <c r="L409" t="s">
        <v>74</v>
      </c>
      <c r="M409" t="s">
        <v>78</v>
      </c>
      <c r="N409" t="s">
        <v>248</v>
      </c>
      <c r="O409" t="s">
        <v>6512</v>
      </c>
      <c r="P409" t="s">
        <v>4172</v>
      </c>
      <c r="Q409" t="s">
        <v>1099</v>
      </c>
      <c r="R409" t="s">
        <v>74</v>
      </c>
      <c r="S409" t="s">
        <v>74</v>
      </c>
      <c r="T409" t="s">
        <v>6513</v>
      </c>
      <c r="U409" t="s">
        <v>74</v>
      </c>
      <c r="V409" t="s">
        <v>6514</v>
      </c>
      <c r="W409" t="s">
        <v>6515</v>
      </c>
      <c r="X409" t="s">
        <v>6516</v>
      </c>
      <c r="Y409" t="s">
        <v>6517</v>
      </c>
      <c r="Z409" t="s">
        <v>6518</v>
      </c>
      <c r="AA409" t="s">
        <v>74</v>
      </c>
      <c r="AB409" t="s">
        <v>74</v>
      </c>
      <c r="AC409" t="s">
        <v>74</v>
      </c>
      <c r="AD409" t="s">
        <v>74</v>
      </c>
      <c r="AE409" t="s">
        <v>74</v>
      </c>
      <c r="AF409" t="s">
        <v>74</v>
      </c>
      <c r="AG409">
        <v>7</v>
      </c>
      <c r="AH409">
        <v>0</v>
      </c>
      <c r="AI409">
        <v>0</v>
      </c>
      <c r="AJ409">
        <v>0</v>
      </c>
      <c r="AK409">
        <v>2</v>
      </c>
      <c r="AL409" t="s">
        <v>2124</v>
      </c>
      <c r="AM409" t="s">
        <v>2125</v>
      </c>
      <c r="AN409" t="s">
        <v>2126</v>
      </c>
      <c r="AO409" t="s">
        <v>2127</v>
      </c>
      <c r="AP409" t="s">
        <v>3183</v>
      </c>
      <c r="AQ409" t="s">
        <v>6519</v>
      </c>
      <c r="AR409" t="s">
        <v>3185</v>
      </c>
      <c r="AS409" t="s">
        <v>74</v>
      </c>
      <c r="AT409" t="s">
        <v>74</v>
      </c>
      <c r="AU409">
        <v>2007</v>
      </c>
      <c r="AV409">
        <v>6745</v>
      </c>
      <c r="AW409" t="s">
        <v>74</v>
      </c>
      <c r="AX409" t="s">
        <v>74</v>
      </c>
      <c r="AY409" t="s">
        <v>74</v>
      </c>
      <c r="AZ409" t="s">
        <v>74</v>
      </c>
      <c r="BA409" t="s">
        <v>74</v>
      </c>
      <c r="BB409" t="s">
        <v>74</v>
      </c>
      <c r="BC409" t="s">
        <v>74</v>
      </c>
      <c r="BD409">
        <v>674503</v>
      </c>
      <c r="BE409" t="s">
        <v>6520</v>
      </c>
      <c r="BF409" t="str">
        <f>HYPERLINK("http://dx.doi.org/10.1117/12.737960","http://dx.doi.org/10.1117/12.737960")</f>
        <v>http://dx.doi.org/10.1117/12.737960</v>
      </c>
      <c r="BG409" t="s">
        <v>74</v>
      </c>
      <c r="BH409" t="s">
        <v>74</v>
      </c>
      <c r="BI409">
        <v>8</v>
      </c>
      <c r="BJ409" t="s">
        <v>6521</v>
      </c>
      <c r="BK409" t="s">
        <v>266</v>
      </c>
      <c r="BL409" t="s">
        <v>6521</v>
      </c>
      <c r="BM409" t="s">
        <v>6522</v>
      </c>
      <c r="BN409" t="s">
        <v>74</v>
      </c>
      <c r="BO409" t="s">
        <v>74</v>
      </c>
      <c r="BP409" t="s">
        <v>74</v>
      </c>
      <c r="BQ409" t="s">
        <v>74</v>
      </c>
      <c r="BR409" t="s">
        <v>100</v>
      </c>
      <c r="BS409" t="s">
        <v>6523</v>
      </c>
      <c r="BT409" t="str">
        <f>HYPERLINK("https%3A%2F%2Fwww.webofscience.com%2Fwos%2Fwoscc%2Ffull-record%2FWOS:000253868600002","View Full Record in Web of Science")</f>
        <v>View Full Record in Web of Science</v>
      </c>
    </row>
    <row r="410" spans="1:72" x14ac:dyDescent="0.15">
      <c r="A410" t="s">
        <v>213</v>
      </c>
      <c r="B410" t="s">
        <v>6524</v>
      </c>
      <c r="C410" t="s">
        <v>6524</v>
      </c>
      <c r="D410" t="s">
        <v>74</v>
      </c>
      <c r="E410" t="s">
        <v>74</v>
      </c>
      <c r="F410" t="s">
        <v>6525</v>
      </c>
      <c r="G410" t="s">
        <v>6524</v>
      </c>
      <c r="H410" t="s">
        <v>74</v>
      </c>
      <c r="I410" t="s">
        <v>6526</v>
      </c>
      <c r="J410" t="s">
        <v>6527</v>
      </c>
      <c r="K410" t="s">
        <v>6528</v>
      </c>
      <c r="L410" t="s">
        <v>74</v>
      </c>
      <c r="M410" t="s">
        <v>78</v>
      </c>
      <c r="N410" t="s">
        <v>219</v>
      </c>
      <c r="O410" t="s">
        <v>74</v>
      </c>
      <c r="P410" t="s">
        <v>74</v>
      </c>
      <c r="Q410" t="s">
        <v>74</v>
      </c>
      <c r="R410" t="s">
        <v>74</v>
      </c>
      <c r="S410" t="s">
        <v>74</v>
      </c>
      <c r="T410" t="s">
        <v>74</v>
      </c>
      <c r="U410" t="s">
        <v>74</v>
      </c>
      <c r="V410" t="s">
        <v>74</v>
      </c>
      <c r="W410" t="s">
        <v>6529</v>
      </c>
      <c r="X410" t="s">
        <v>6530</v>
      </c>
      <c r="Y410" t="s">
        <v>6531</v>
      </c>
      <c r="Z410" t="s">
        <v>6532</v>
      </c>
      <c r="AA410" t="s">
        <v>6533</v>
      </c>
      <c r="AB410" t="s">
        <v>74</v>
      </c>
      <c r="AC410" t="s">
        <v>74</v>
      </c>
      <c r="AD410" t="s">
        <v>74</v>
      </c>
      <c r="AE410" t="s">
        <v>74</v>
      </c>
      <c r="AF410" t="s">
        <v>74</v>
      </c>
      <c r="AG410">
        <v>0</v>
      </c>
      <c r="AH410">
        <v>1</v>
      </c>
      <c r="AI410">
        <v>1</v>
      </c>
      <c r="AJ410">
        <v>0</v>
      </c>
      <c r="AK410">
        <v>3</v>
      </c>
      <c r="AL410" t="s">
        <v>6534</v>
      </c>
      <c r="AM410" t="s">
        <v>6535</v>
      </c>
      <c r="AN410" t="s">
        <v>6536</v>
      </c>
      <c r="AO410" t="s">
        <v>74</v>
      </c>
      <c r="AP410" t="s">
        <v>74</v>
      </c>
      <c r="AQ410" t="s">
        <v>6537</v>
      </c>
      <c r="AR410" t="s">
        <v>6538</v>
      </c>
      <c r="AS410" t="s">
        <v>74</v>
      </c>
      <c r="AT410" t="s">
        <v>74</v>
      </c>
      <c r="AU410">
        <v>2007</v>
      </c>
      <c r="AV410" t="s">
        <v>74</v>
      </c>
      <c r="AW410" t="s">
        <v>74</v>
      </c>
      <c r="AX410" t="s">
        <v>74</v>
      </c>
      <c r="AY410" t="s">
        <v>74</v>
      </c>
      <c r="AZ410" t="s">
        <v>74</v>
      </c>
      <c r="BA410" t="s">
        <v>74</v>
      </c>
      <c r="BB410">
        <v>1</v>
      </c>
      <c r="BC410">
        <v>23</v>
      </c>
      <c r="BD410" t="s">
        <v>74</v>
      </c>
      <c r="BE410" t="s">
        <v>74</v>
      </c>
      <c r="BF410" t="s">
        <v>74</v>
      </c>
      <c r="BG410" t="s">
        <v>6539</v>
      </c>
      <c r="BH410" t="s">
        <v>74</v>
      </c>
      <c r="BI410">
        <v>23</v>
      </c>
      <c r="BJ410" t="s">
        <v>6540</v>
      </c>
      <c r="BK410" t="s">
        <v>238</v>
      </c>
      <c r="BL410" t="s">
        <v>6541</v>
      </c>
      <c r="BM410" t="s">
        <v>6542</v>
      </c>
      <c r="BN410" t="s">
        <v>74</v>
      </c>
      <c r="BO410" t="s">
        <v>1384</v>
      </c>
      <c r="BP410" t="s">
        <v>74</v>
      </c>
      <c r="BQ410" t="s">
        <v>74</v>
      </c>
      <c r="BR410" t="s">
        <v>100</v>
      </c>
      <c r="BS410" t="s">
        <v>6543</v>
      </c>
      <c r="BT410" t="str">
        <f>HYPERLINK("https%3A%2F%2Fwww.webofscience.com%2Fwos%2Fwoscc%2Ffull-record%2FWOS:000270756700003","View Full Record in Web of Science")</f>
        <v>View Full Record in Web of Science</v>
      </c>
    </row>
    <row r="411" spans="1:72" x14ac:dyDescent="0.15">
      <c r="A411" t="s">
        <v>213</v>
      </c>
      <c r="B411" t="s">
        <v>6524</v>
      </c>
      <c r="C411" t="s">
        <v>6524</v>
      </c>
      <c r="D411" t="s">
        <v>74</v>
      </c>
      <c r="E411" t="s">
        <v>74</v>
      </c>
      <c r="F411" t="s">
        <v>6525</v>
      </c>
      <c r="G411" t="s">
        <v>6524</v>
      </c>
      <c r="H411" t="s">
        <v>74</v>
      </c>
      <c r="I411" t="s">
        <v>6544</v>
      </c>
      <c r="J411" t="s">
        <v>6527</v>
      </c>
      <c r="K411" t="s">
        <v>6528</v>
      </c>
      <c r="L411" t="s">
        <v>74</v>
      </c>
      <c r="M411" t="s">
        <v>78</v>
      </c>
      <c r="N411" t="s">
        <v>925</v>
      </c>
      <c r="O411" t="s">
        <v>74</v>
      </c>
      <c r="P411" t="s">
        <v>74</v>
      </c>
      <c r="Q411" t="s">
        <v>74</v>
      </c>
      <c r="R411" t="s">
        <v>74</v>
      </c>
      <c r="S411" t="s">
        <v>74</v>
      </c>
      <c r="T411" t="s">
        <v>74</v>
      </c>
      <c r="U411" t="s">
        <v>6545</v>
      </c>
      <c r="V411" t="s">
        <v>74</v>
      </c>
      <c r="W411" t="s">
        <v>6529</v>
      </c>
      <c r="X411" t="s">
        <v>6546</v>
      </c>
      <c r="Y411" t="s">
        <v>6531</v>
      </c>
      <c r="Z411" t="s">
        <v>6532</v>
      </c>
      <c r="AA411" t="s">
        <v>6547</v>
      </c>
      <c r="AB411" t="s">
        <v>6548</v>
      </c>
      <c r="AC411" t="s">
        <v>74</v>
      </c>
      <c r="AD411" t="s">
        <v>74</v>
      </c>
      <c r="AE411" t="s">
        <v>74</v>
      </c>
      <c r="AF411" t="s">
        <v>74</v>
      </c>
      <c r="AG411">
        <v>0</v>
      </c>
      <c r="AH411">
        <v>4</v>
      </c>
      <c r="AI411">
        <v>4</v>
      </c>
      <c r="AJ411">
        <v>0</v>
      </c>
      <c r="AK411">
        <v>2</v>
      </c>
      <c r="AL411" t="s">
        <v>6534</v>
      </c>
      <c r="AM411" t="s">
        <v>6535</v>
      </c>
      <c r="AN411" t="s">
        <v>6536</v>
      </c>
      <c r="AO411" t="s">
        <v>74</v>
      </c>
      <c r="AP411" t="s">
        <v>74</v>
      </c>
      <c r="AQ411" t="s">
        <v>6537</v>
      </c>
      <c r="AR411" t="s">
        <v>6538</v>
      </c>
      <c r="AS411" t="s">
        <v>74</v>
      </c>
      <c r="AT411" t="s">
        <v>74</v>
      </c>
      <c r="AU411">
        <v>2007</v>
      </c>
      <c r="AV411" t="s">
        <v>74</v>
      </c>
      <c r="AW411" t="s">
        <v>74</v>
      </c>
      <c r="AX411" t="s">
        <v>74</v>
      </c>
      <c r="AY411" t="s">
        <v>74</v>
      </c>
      <c r="AZ411" t="s">
        <v>74</v>
      </c>
      <c r="BA411" t="s">
        <v>74</v>
      </c>
      <c r="BB411" t="s">
        <v>6549</v>
      </c>
      <c r="BC411" t="s">
        <v>617</v>
      </c>
      <c r="BD411" t="s">
        <v>74</v>
      </c>
      <c r="BE411" t="s">
        <v>74</v>
      </c>
      <c r="BF411" t="s">
        <v>74</v>
      </c>
      <c r="BG411" t="s">
        <v>6539</v>
      </c>
      <c r="BH411" t="s">
        <v>74</v>
      </c>
      <c r="BI411">
        <v>34</v>
      </c>
      <c r="BJ411" t="s">
        <v>6540</v>
      </c>
      <c r="BK411" t="s">
        <v>238</v>
      </c>
      <c r="BL411" t="s">
        <v>6541</v>
      </c>
      <c r="BM411" t="s">
        <v>6542</v>
      </c>
      <c r="BN411" t="s">
        <v>74</v>
      </c>
      <c r="BO411" t="s">
        <v>1384</v>
      </c>
      <c r="BP411" t="s">
        <v>74</v>
      </c>
      <c r="BQ411" t="s">
        <v>74</v>
      </c>
      <c r="BR411" t="s">
        <v>100</v>
      </c>
      <c r="BS411" t="s">
        <v>6550</v>
      </c>
      <c r="BT411" t="str">
        <f>HYPERLINK("https%3A%2F%2Fwww.webofscience.com%2Fwos%2Fwoscc%2Ffull-record%2FWOS:000270756700001","View Full Record in Web of Science")</f>
        <v>View Full Record in Web of Science</v>
      </c>
    </row>
    <row r="412" spans="1:72" x14ac:dyDescent="0.15">
      <c r="A412" t="s">
        <v>213</v>
      </c>
      <c r="B412" t="s">
        <v>6524</v>
      </c>
      <c r="C412" t="s">
        <v>6524</v>
      </c>
      <c r="D412" t="s">
        <v>74</v>
      </c>
      <c r="E412" t="s">
        <v>74</v>
      </c>
      <c r="F412" t="s">
        <v>6525</v>
      </c>
      <c r="G412" t="s">
        <v>6524</v>
      </c>
      <c r="H412" t="s">
        <v>74</v>
      </c>
      <c r="I412" t="s">
        <v>6551</v>
      </c>
      <c r="J412" t="s">
        <v>6527</v>
      </c>
      <c r="K412" t="s">
        <v>6528</v>
      </c>
      <c r="L412" t="s">
        <v>74</v>
      </c>
      <c r="M412" t="s">
        <v>78</v>
      </c>
      <c r="N412" t="s">
        <v>219</v>
      </c>
      <c r="O412" t="s">
        <v>74</v>
      </c>
      <c r="P412" t="s">
        <v>74</v>
      </c>
      <c r="Q412" t="s">
        <v>74</v>
      </c>
      <c r="R412" t="s">
        <v>74</v>
      </c>
      <c r="S412" t="s">
        <v>74</v>
      </c>
      <c r="T412" t="s">
        <v>74</v>
      </c>
      <c r="U412" t="s">
        <v>74</v>
      </c>
      <c r="V412" t="s">
        <v>74</v>
      </c>
      <c r="W412" t="s">
        <v>6529</v>
      </c>
      <c r="X412" t="s">
        <v>6546</v>
      </c>
      <c r="Y412" t="s">
        <v>6531</v>
      </c>
      <c r="Z412" t="s">
        <v>6532</v>
      </c>
      <c r="AA412" t="s">
        <v>6552</v>
      </c>
      <c r="AB412" t="s">
        <v>6548</v>
      </c>
      <c r="AC412" t="s">
        <v>74</v>
      </c>
      <c r="AD412" t="s">
        <v>74</v>
      </c>
      <c r="AE412" t="s">
        <v>74</v>
      </c>
      <c r="AF412" t="s">
        <v>74</v>
      </c>
      <c r="AG412">
        <v>0</v>
      </c>
      <c r="AH412">
        <v>1</v>
      </c>
      <c r="AI412">
        <v>1</v>
      </c>
      <c r="AJ412">
        <v>0</v>
      </c>
      <c r="AK412">
        <v>2</v>
      </c>
      <c r="AL412" t="s">
        <v>6534</v>
      </c>
      <c r="AM412" t="s">
        <v>6535</v>
      </c>
      <c r="AN412" t="s">
        <v>6536</v>
      </c>
      <c r="AO412" t="s">
        <v>74</v>
      </c>
      <c r="AP412" t="s">
        <v>74</v>
      </c>
      <c r="AQ412" t="s">
        <v>6537</v>
      </c>
      <c r="AR412" t="s">
        <v>6538</v>
      </c>
      <c r="AS412" t="s">
        <v>74</v>
      </c>
      <c r="AT412" t="s">
        <v>74</v>
      </c>
      <c r="AU412">
        <v>2007</v>
      </c>
      <c r="AV412" t="s">
        <v>74</v>
      </c>
      <c r="AW412" t="s">
        <v>74</v>
      </c>
      <c r="AX412" t="s">
        <v>74</v>
      </c>
      <c r="AY412" t="s">
        <v>74</v>
      </c>
      <c r="AZ412" t="s">
        <v>74</v>
      </c>
      <c r="BA412" t="s">
        <v>74</v>
      </c>
      <c r="BB412">
        <v>25</v>
      </c>
      <c r="BC412">
        <v>64</v>
      </c>
      <c r="BD412" t="s">
        <v>74</v>
      </c>
      <c r="BE412" t="s">
        <v>74</v>
      </c>
      <c r="BF412" t="s">
        <v>74</v>
      </c>
      <c r="BG412" t="s">
        <v>6539</v>
      </c>
      <c r="BH412" t="s">
        <v>74</v>
      </c>
      <c r="BI412">
        <v>40</v>
      </c>
      <c r="BJ412" t="s">
        <v>6540</v>
      </c>
      <c r="BK412" t="s">
        <v>238</v>
      </c>
      <c r="BL412" t="s">
        <v>6541</v>
      </c>
      <c r="BM412" t="s">
        <v>6542</v>
      </c>
      <c r="BN412" t="s">
        <v>74</v>
      </c>
      <c r="BO412" t="s">
        <v>1384</v>
      </c>
      <c r="BP412" t="s">
        <v>74</v>
      </c>
      <c r="BQ412" t="s">
        <v>74</v>
      </c>
      <c r="BR412" t="s">
        <v>100</v>
      </c>
      <c r="BS412" t="s">
        <v>6553</v>
      </c>
      <c r="BT412" t="str">
        <f>HYPERLINK("https%3A%2F%2Fwww.webofscience.com%2Fwos%2Fwoscc%2Ffull-record%2FWOS:000270756700004","View Full Record in Web of Science")</f>
        <v>View Full Record in Web of Science</v>
      </c>
    </row>
    <row r="413" spans="1:72" x14ac:dyDescent="0.15">
      <c r="A413" t="s">
        <v>213</v>
      </c>
      <c r="B413" t="s">
        <v>6524</v>
      </c>
      <c r="C413" t="s">
        <v>6524</v>
      </c>
      <c r="D413" t="s">
        <v>74</v>
      </c>
      <c r="E413" t="s">
        <v>74</v>
      </c>
      <c r="F413" t="s">
        <v>6525</v>
      </c>
      <c r="G413" t="s">
        <v>6524</v>
      </c>
      <c r="H413" t="s">
        <v>74</v>
      </c>
      <c r="I413" t="s">
        <v>6554</v>
      </c>
      <c r="J413" t="s">
        <v>6527</v>
      </c>
      <c r="K413" t="s">
        <v>6528</v>
      </c>
      <c r="L413" t="s">
        <v>74</v>
      </c>
      <c r="M413" t="s">
        <v>78</v>
      </c>
      <c r="N413" t="s">
        <v>925</v>
      </c>
      <c r="O413" t="s">
        <v>74</v>
      </c>
      <c r="P413" t="s">
        <v>74</v>
      </c>
      <c r="Q413" t="s">
        <v>74</v>
      </c>
      <c r="R413" t="s">
        <v>74</v>
      </c>
      <c r="S413" t="s">
        <v>74</v>
      </c>
      <c r="T413" t="s">
        <v>74</v>
      </c>
      <c r="U413" t="s">
        <v>74</v>
      </c>
      <c r="V413" t="s">
        <v>74</v>
      </c>
      <c r="W413" t="s">
        <v>6529</v>
      </c>
      <c r="X413" t="s">
        <v>6546</v>
      </c>
      <c r="Y413" t="s">
        <v>6531</v>
      </c>
      <c r="Z413" t="s">
        <v>6532</v>
      </c>
      <c r="AA413" t="s">
        <v>6555</v>
      </c>
      <c r="AB413" t="s">
        <v>6548</v>
      </c>
      <c r="AC413" t="s">
        <v>74</v>
      </c>
      <c r="AD413" t="s">
        <v>74</v>
      </c>
      <c r="AE413" t="s">
        <v>74</v>
      </c>
      <c r="AF413" t="s">
        <v>74</v>
      </c>
      <c r="AG413">
        <v>0</v>
      </c>
      <c r="AH413">
        <v>0</v>
      </c>
      <c r="AI413">
        <v>0</v>
      </c>
      <c r="AJ413">
        <v>0</v>
      </c>
      <c r="AK413">
        <v>2</v>
      </c>
      <c r="AL413" t="s">
        <v>6534</v>
      </c>
      <c r="AM413" t="s">
        <v>6535</v>
      </c>
      <c r="AN413" t="s">
        <v>6536</v>
      </c>
      <c r="AO413" t="s">
        <v>74</v>
      </c>
      <c r="AP413" t="s">
        <v>74</v>
      </c>
      <c r="AQ413" t="s">
        <v>6537</v>
      </c>
      <c r="AR413" t="s">
        <v>6538</v>
      </c>
      <c r="AS413" t="s">
        <v>74</v>
      </c>
      <c r="AT413" t="s">
        <v>74</v>
      </c>
      <c r="AU413">
        <v>2007</v>
      </c>
      <c r="AV413" t="s">
        <v>74</v>
      </c>
      <c r="AW413" t="s">
        <v>74</v>
      </c>
      <c r="AX413" t="s">
        <v>74</v>
      </c>
      <c r="AY413" t="s">
        <v>74</v>
      </c>
      <c r="AZ413" t="s">
        <v>74</v>
      </c>
      <c r="BA413" t="s">
        <v>74</v>
      </c>
      <c r="BB413" t="s">
        <v>6556</v>
      </c>
      <c r="BC413" t="s">
        <v>6557</v>
      </c>
      <c r="BD413" t="s">
        <v>74</v>
      </c>
      <c r="BE413" t="s">
        <v>74</v>
      </c>
      <c r="BF413" t="s">
        <v>74</v>
      </c>
      <c r="BG413" t="s">
        <v>6539</v>
      </c>
      <c r="BH413" t="s">
        <v>74</v>
      </c>
      <c r="BI413">
        <v>5</v>
      </c>
      <c r="BJ413" t="s">
        <v>6540</v>
      </c>
      <c r="BK413" t="s">
        <v>238</v>
      </c>
      <c r="BL413" t="s">
        <v>6541</v>
      </c>
      <c r="BM413" t="s">
        <v>6542</v>
      </c>
      <c r="BN413" t="s">
        <v>74</v>
      </c>
      <c r="BO413" t="s">
        <v>1384</v>
      </c>
      <c r="BP413" t="s">
        <v>74</v>
      </c>
      <c r="BQ413" t="s">
        <v>74</v>
      </c>
      <c r="BR413" t="s">
        <v>100</v>
      </c>
      <c r="BS413" t="s">
        <v>6558</v>
      </c>
      <c r="BT413" t="str">
        <f>HYPERLINK("https%3A%2F%2Fwww.webofscience.com%2Fwos%2Fwoscc%2Ffull-record%2FWOS:000270756700002","View Full Record in Web of Science")</f>
        <v>View Full Record in Web of Science</v>
      </c>
    </row>
    <row r="414" spans="1:72" x14ac:dyDescent="0.15">
      <c r="A414" t="s">
        <v>213</v>
      </c>
      <c r="B414" t="s">
        <v>6524</v>
      </c>
      <c r="C414" t="s">
        <v>6524</v>
      </c>
      <c r="D414" t="s">
        <v>74</v>
      </c>
      <c r="E414" t="s">
        <v>74</v>
      </c>
      <c r="F414" t="s">
        <v>6525</v>
      </c>
      <c r="G414" t="s">
        <v>6524</v>
      </c>
      <c r="H414" t="s">
        <v>74</v>
      </c>
      <c r="I414" t="s">
        <v>6559</v>
      </c>
      <c r="J414" t="s">
        <v>6527</v>
      </c>
      <c r="K414" t="s">
        <v>6528</v>
      </c>
      <c r="L414" t="s">
        <v>74</v>
      </c>
      <c r="M414" t="s">
        <v>78</v>
      </c>
      <c r="N414" t="s">
        <v>219</v>
      </c>
      <c r="O414" t="s">
        <v>74</v>
      </c>
      <c r="P414" t="s">
        <v>74</v>
      </c>
      <c r="Q414" t="s">
        <v>74</v>
      </c>
      <c r="R414" t="s">
        <v>74</v>
      </c>
      <c r="S414" t="s">
        <v>74</v>
      </c>
      <c r="T414" t="s">
        <v>74</v>
      </c>
      <c r="U414" t="s">
        <v>74</v>
      </c>
      <c r="V414" t="s">
        <v>74</v>
      </c>
      <c r="W414" t="s">
        <v>6529</v>
      </c>
      <c r="X414" t="s">
        <v>6530</v>
      </c>
      <c r="Y414" t="s">
        <v>6531</v>
      </c>
      <c r="Z414" t="s">
        <v>6532</v>
      </c>
      <c r="AA414" t="s">
        <v>6560</v>
      </c>
      <c r="AB414" t="s">
        <v>6548</v>
      </c>
      <c r="AC414" t="s">
        <v>74</v>
      </c>
      <c r="AD414" t="s">
        <v>74</v>
      </c>
      <c r="AE414" t="s">
        <v>74</v>
      </c>
      <c r="AF414" t="s">
        <v>74</v>
      </c>
      <c r="AG414">
        <v>0</v>
      </c>
      <c r="AH414">
        <v>0</v>
      </c>
      <c r="AI414">
        <v>0</v>
      </c>
      <c r="AJ414">
        <v>0</v>
      </c>
      <c r="AK414">
        <v>2</v>
      </c>
      <c r="AL414" t="s">
        <v>6534</v>
      </c>
      <c r="AM414" t="s">
        <v>6535</v>
      </c>
      <c r="AN414" t="s">
        <v>6536</v>
      </c>
      <c r="AO414" t="s">
        <v>74</v>
      </c>
      <c r="AP414" t="s">
        <v>74</v>
      </c>
      <c r="AQ414" t="s">
        <v>6537</v>
      </c>
      <c r="AR414" t="s">
        <v>6538</v>
      </c>
      <c r="AS414" t="s">
        <v>74</v>
      </c>
      <c r="AT414" t="s">
        <v>74</v>
      </c>
      <c r="AU414">
        <v>2007</v>
      </c>
      <c r="AV414" t="s">
        <v>74</v>
      </c>
      <c r="AW414" t="s">
        <v>74</v>
      </c>
      <c r="AX414" t="s">
        <v>74</v>
      </c>
      <c r="AY414" t="s">
        <v>74</v>
      </c>
      <c r="AZ414" t="s">
        <v>74</v>
      </c>
      <c r="BA414" t="s">
        <v>74</v>
      </c>
      <c r="BB414">
        <v>65</v>
      </c>
      <c r="BC414">
        <v>148</v>
      </c>
      <c r="BD414" t="s">
        <v>74</v>
      </c>
      <c r="BE414" t="s">
        <v>74</v>
      </c>
      <c r="BF414" t="s">
        <v>74</v>
      </c>
      <c r="BG414" t="s">
        <v>6539</v>
      </c>
      <c r="BH414" t="s">
        <v>74</v>
      </c>
      <c r="BI414">
        <v>84</v>
      </c>
      <c r="BJ414" t="s">
        <v>6540</v>
      </c>
      <c r="BK414" t="s">
        <v>238</v>
      </c>
      <c r="BL414" t="s">
        <v>6541</v>
      </c>
      <c r="BM414" t="s">
        <v>6542</v>
      </c>
      <c r="BN414" t="s">
        <v>74</v>
      </c>
      <c r="BO414" t="s">
        <v>1384</v>
      </c>
      <c r="BP414" t="s">
        <v>74</v>
      </c>
      <c r="BQ414" t="s">
        <v>74</v>
      </c>
      <c r="BR414" t="s">
        <v>100</v>
      </c>
      <c r="BS414" t="s">
        <v>6561</v>
      </c>
      <c r="BT414" t="str">
        <f>HYPERLINK("https%3A%2F%2Fwww.webofscience.com%2Fwos%2Fwoscc%2Ffull-record%2FWOS:000270756700005","View Full Record in Web of Science")</f>
        <v>View Full Record in Web of Science</v>
      </c>
    </row>
    <row r="415" spans="1:72" x14ac:dyDescent="0.15">
      <c r="A415" t="s">
        <v>213</v>
      </c>
      <c r="B415" t="s">
        <v>6524</v>
      </c>
      <c r="C415" t="s">
        <v>6524</v>
      </c>
      <c r="D415" t="s">
        <v>74</v>
      </c>
      <c r="E415" t="s">
        <v>74</v>
      </c>
      <c r="F415" t="s">
        <v>6525</v>
      </c>
      <c r="G415" t="s">
        <v>6524</v>
      </c>
      <c r="H415" t="s">
        <v>74</v>
      </c>
      <c r="I415" t="s">
        <v>6562</v>
      </c>
      <c r="J415" t="s">
        <v>6527</v>
      </c>
      <c r="K415" t="s">
        <v>6528</v>
      </c>
      <c r="L415" t="s">
        <v>74</v>
      </c>
      <c r="M415" t="s">
        <v>78</v>
      </c>
      <c r="N415" t="s">
        <v>219</v>
      </c>
      <c r="O415" t="s">
        <v>74</v>
      </c>
      <c r="P415" t="s">
        <v>74</v>
      </c>
      <c r="Q415" t="s">
        <v>74</v>
      </c>
      <c r="R415" t="s">
        <v>74</v>
      </c>
      <c r="S415" t="s">
        <v>74</v>
      </c>
      <c r="T415" t="s">
        <v>74</v>
      </c>
      <c r="U415" t="s">
        <v>74</v>
      </c>
      <c r="V415" t="s">
        <v>74</v>
      </c>
      <c r="W415" t="s">
        <v>6529</v>
      </c>
      <c r="X415" t="s">
        <v>6546</v>
      </c>
      <c r="Y415" t="s">
        <v>6531</v>
      </c>
      <c r="Z415" t="s">
        <v>6532</v>
      </c>
      <c r="AA415" t="s">
        <v>6547</v>
      </c>
      <c r="AB415" t="s">
        <v>6548</v>
      </c>
      <c r="AC415" t="s">
        <v>74</v>
      </c>
      <c r="AD415" t="s">
        <v>74</v>
      </c>
      <c r="AE415" t="s">
        <v>74</v>
      </c>
      <c r="AF415" t="s">
        <v>74</v>
      </c>
      <c r="AG415">
        <v>0</v>
      </c>
      <c r="AH415">
        <v>2</v>
      </c>
      <c r="AI415">
        <v>2</v>
      </c>
      <c r="AJ415">
        <v>0</v>
      </c>
      <c r="AK415">
        <v>2</v>
      </c>
      <c r="AL415" t="s">
        <v>6534</v>
      </c>
      <c r="AM415" t="s">
        <v>6535</v>
      </c>
      <c r="AN415" t="s">
        <v>6536</v>
      </c>
      <c r="AO415" t="s">
        <v>74</v>
      </c>
      <c r="AP415" t="s">
        <v>74</v>
      </c>
      <c r="AQ415" t="s">
        <v>6537</v>
      </c>
      <c r="AR415" t="s">
        <v>6538</v>
      </c>
      <c r="AS415" t="s">
        <v>74</v>
      </c>
      <c r="AT415" t="s">
        <v>74</v>
      </c>
      <c r="AU415">
        <v>2007</v>
      </c>
      <c r="AV415" t="s">
        <v>74</v>
      </c>
      <c r="AW415" t="s">
        <v>74</v>
      </c>
      <c r="AX415" t="s">
        <v>74</v>
      </c>
      <c r="AY415" t="s">
        <v>74</v>
      </c>
      <c r="AZ415" t="s">
        <v>74</v>
      </c>
      <c r="BA415" t="s">
        <v>74</v>
      </c>
      <c r="BB415">
        <v>149</v>
      </c>
      <c r="BC415">
        <v>252</v>
      </c>
      <c r="BD415" t="s">
        <v>74</v>
      </c>
      <c r="BE415" t="s">
        <v>74</v>
      </c>
      <c r="BF415" t="s">
        <v>74</v>
      </c>
      <c r="BG415" t="s">
        <v>6539</v>
      </c>
      <c r="BH415" t="s">
        <v>74</v>
      </c>
      <c r="BI415">
        <v>104</v>
      </c>
      <c r="BJ415" t="s">
        <v>6540</v>
      </c>
      <c r="BK415" t="s">
        <v>238</v>
      </c>
      <c r="BL415" t="s">
        <v>6541</v>
      </c>
      <c r="BM415" t="s">
        <v>6542</v>
      </c>
      <c r="BN415" t="s">
        <v>74</v>
      </c>
      <c r="BO415" t="s">
        <v>1384</v>
      </c>
      <c r="BP415" t="s">
        <v>74</v>
      </c>
      <c r="BQ415" t="s">
        <v>74</v>
      </c>
      <c r="BR415" t="s">
        <v>100</v>
      </c>
      <c r="BS415" t="s">
        <v>6563</v>
      </c>
      <c r="BT415" t="str">
        <f>HYPERLINK("https%3A%2F%2Fwww.webofscience.com%2Fwos%2Fwoscc%2Ffull-record%2FWOS:000270756700006","View Full Record in Web of Science")</f>
        <v>View Full Record in Web of Science</v>
      </c>
    </row>
    <row r="416" spans="1:72" x14ac:dyDescent="0.15">
      <c r="A416" t="s">
        <v>213</v>
      </c>
      <c r="B416" t="s">
        <v>6524</v>
      </c>
      <c r="C416" t="s">
        <v>6524</v>
      </c>
      <c r="D416" t="s">
        <v>74</v>
      </c>
      <c r="E416" t="s">
        <v>74</v>
      </c>
      <c r="F416" t="s">
        <v>6525</v>
      </c>
      <c r="G416" t="s">
        <v>6524</v>
      </c>
      <c r="H416" t="s">
        <v>74</v>
      </c>
      <c r="I416" t="s">
        <v>6564</v>
      </c>
      <c r="J416" t="s">
        <v>6527</v>
      </c>
      <c r="K416" t="s">
        <v>6528</v>
      </c>
      <c r="L416" t="s">
        <v>74</v>
      </c>
      <c r="M416" t="s">
        <v>78</v>
      </c>
      <c r="N416" t="s">
        <v>219</v>
      </c>
      <c r="O416" t="s">
        <v>74</v>
      </c>
      <c r="P416" t="s">
        <v>74</v>
      </c>
      <c r="Q416" t="s">
        <v>74</v>
      </c>
      <c r="R416" t="s">
        <v>74</v>
      </c>
      <c r="S416" t="s">
        <v>74</v>
      </c>
      <c r="T416" t="s">
        <v>74</v>
      </c>
      <c r="U416" t="s">
        <v>74</v>
      </c>
      <c r="V416" t="s">
        <v>74</v>
      </c>
      <c r="W416" t="s">
        <v>6529</v>
      </c>
      <c r="X416" t="s">
        <v>6530</v>
      </c>
      <c r="Y416" t="s">
        <v>6531</v>
      </c>
      <c r="Z416" t="s">
        <v>6532</v>
      </c>
      <c r="AA416" t="s">
        <v>6555</v>
      </c>
      <c r="AB416" t="s">
        <v>6548</v>
      </c>
      <c r="AC416" t="s">
        <v>74</v>
      </c>
      <c r="AD416" t="s">
        <v>74</v>
      </c>
      <c r="AE416" t="s">
        <v>74</v>
      </c>
      <c r="AF416" t="s">
        <v>74</v>
      </c>
      <c r="AG416">
        <v>0</v>
      </c>
      <c r="AH416">
        <v>0</v>
      </c>
      <c r="AI416">
        <v>0</v>
      </c>
      <c r="AJ416">
        <v>0</v>
      </c>
      <c r="AK416">
        <v>2</v>
      </c>
      <c r="AL416" t="s">
        <v>6534</v>
      </c>
      <c r="AM416" t="s">
        <v>6535</v>
      </c>
      <c r="AN416" t="s">
        <v>6536</v>
      </c>
      <c r="AO416" t="s">
        <v>74</v>
      </c>
      <c r="AP416" t="s">
        <v>74</v>
      </c>
      <c r="AQ416" t="s">
        <v>6537</v>
      </c>
      <c r="AR416" t="s">
        <v>6538</v>
      </c>
      <c r="AS416" t="s">
        <v>74</v>
      </c>
      <c r="AT416" t="s">
        <v>74</v>
      </c>
      <c r="AU416">
        <v>2007</v>
      </c>
      <c r="AV416" t="s">
        <v>74</v>
      </c>
      <c r="AW416" t="s">
        <v>74</v>
      </c>
      <c r="AX416" t="s">
        <v>74</v>
      </c>
      <c r="AY416" t="s">
        <v>74</v>
      </c>
      <c r="AZ416" t="s">
        <v>74</v>
      </c>
      <c r="BA416" t="s">
        <v>74</v>
      </c>
      <c r="BB416">
        <v>253</v>
      </c>
      <c r="BC416">
        <v>322</v>
      </c>
      <c r="BD416" t="s">
        <v>74</v>
      </c>
      <c r="BE416" t="s">
        <v>74</v>
      </c>
      <c r="BF416" t="s">
        <v>74</v>
      </c>
      <c r="BG416" t="s">
        <v>6539</v>
      </c>
      <c r="BH416" t="s">
        <v>74</v>
      </c>
      <c r="BI416">
        <v>70</v>
      </c>
      <c r="BJ416" t="s">
        <v>6540</v>
      </c>
      <c r="BK416" t="s">
        <v>238</v>
      </c>
      <c r="BL416" t="s">
        <v>6541</v>
      </c>
      <c r="BM416" t="s">
        <v>6542</v>
      </c>
      <c r="BN416" t="s">
        <v>74</v>
      </c>
      <c r="BO416" t="s">
        <v>1384</v>
      </c>
      <c r="BP416" t="s">
        <v>74</v>
      </c>
      <c r="BQ416" t="s">
        <v>74</v>
      </c>
      <c r="BR416" t="s">
        <v>100</v>
      </c>
      <c r="BS416" t="s">
        <v>6565</v>
      </c>
      <c r="BT416" t="str">
        <f>HYPERLINK("https%3A%2F%2Fwww.webofscience.com%2Fwos%2Fwoscc%2Ffull-record%2FWOS:000270756700007","View Full Record in Web of Science")</f>
        <v>View Full Record in Web of Science</v>
      </c>
    </row>
    <row r="417" spans="1:72" x14ac:dyDescent="0.15">
      <c r="A417" t="s">
        <v>213</v>
      </c>
      <c r="B417" t="s">
        <v>6524</v>
      </c>
      <c r="C417" t="s">
        <v>6524</v>
      </c>
      <c r="D417" t="s">
        <v>74</v>
      </c>
      <c r="E417" t="s">
        <v>74</v>
      </c>
      <c r="F417" t="s">
        <v>6525</v>
      </c>
      <c r="G417" t="s">
        <v>6524</v>
      </c>
      <c r="H417" t="s">
        <v>74</v>
      </c>
      <c r="I417" t="s">
        <v>6566</v>
      </c>
      <c r="J417" t="s">
        <v>6527</v>
      </c>
      <c r="K417" t="s">
        <v>6528</v>
      </c>
      <c r="L417" t="s">
        <v>74</v>
      </c>
      <c r="M417" t="s">
        <v>78</v>
      </c>
      <c r="N417" t="s">
        <v>219</v>
      </c>
      <c r="O417" t="s">
        <v>74</v>
      </c>
      <c r="P417" t="s">
        <v>74</v>
      </c>
      <c r="Q417" t="s">
        <v>74</v>
      </c>
      <c r="R417" t="s">
        <v>74</v>
      </c>
      <c r="S417" t="s">
        <v>74</v>
      </c>
      <c r="T417" t="s">
        <v>74</v>
      </c>
      <c r="U417" t="s">
        <v>74</v>
      </c>
      <c r="V417" t="s">
        <v>74</v>
      </c>
      <c r="W417" t="s">
        <v>6529</v>
      </c>
      <c r="X417" t="s">
        <v>6530</v>
      </c>
      <c r="Y417" t="s">
        <v>6531</v>
      </c>
      <c r="Z417" t="s">
        <v>6532</v>
      </c>
      <c r="AA417" t="s">
        <v>6567</v>
      </c>
      <c r="AB417" t="s">
        <v>6568</v>
      </c>
      <c r="AC417" t="s">
        <v>74</v>
      </c>
      <c r="AD417" t="s">
        <v>74</v>
      </c>
      <c r="AE417" t="s">
        <v>74</v>
      </c>
      <c r="AF417" t="s">
        <v>74</v>
      </c>
      <c r="AG417">
        <v>0</v>
      </c>
      <c r="AH417">
        <v>2</v>
      </c>
      <c r="AI417">
        <v>2</v>
      </c>
      <c r="AJ417">
        <v>0</v>
      </c>
      <c r="AK417">
        <v>2</v>
      </c>
      <c r="AL417" t="s">
        <v>6534</v>
      </c>
      <c r="AM417" t="s">
        <v>6535</v>
      </c>
      <c r="AN417" t="s">
        <v>6536</v>
      </c>
      <c r="AO417" t="s">
        <v>74</v>
      </c>
      <c r="AP417" t="s">
        <v>74</v>
      </c>
      <c r="AQ417" t="s">
        <v>6537</v>
      </c>
      <c r="AR417" t="s">
        <v>6538</v>
      </c>
      <c r="AS417" t="s">
        <v>74</v>
      </c>
      <c r="AT417" t="s">
        <v>74</v>
      </c>
      <c r="AU417">
        <v>2007</v>
      </c>
      <c r="AV417" t="s">
        <v>74</v>
      </c>
      <c r="AW417" t="s">
        <v>74</v>
      </c>
      <c r="AX417" t="s">
        <v>74</v>
      </c>
      <c r="AY417" t="s">
        <v>74</v>
      </c>
      <c r="AZ417" t="s">
        <v>74</v>
      </c>
      <c r="BA417" t="s">
        <v>74</v>
      </c>
      <c r="BB417">
        <v>323</v>
      </c>
      <c r="BC417">
        <v>396</v>
      </c>
      <c r="BD417" t="s">
        <v>74</v>
      </c>
      <c r="BE417" t="s">
        <v>74</v>
      </c>
      <c r="BF417" t="s">
        <v>74</v>
      </c>
      <c r="BG417" t="s">
        <v>6539</v>
      </c>
      <c r="BH417" t="s">
        <v>74</v>
      </c>
      <c r="BI417">
        <v>74</v>
      </c>
      <c r="BJ417" t="s">
        <v>6540</v>
      </c>
      <c r="BK417" t="s">
        <v>238</v>
      </c>
      <c r="BL417" t="s">
        <v>6541</v>
      </c>
      <c r="BM417" t="s">
        <v>6542</v>
      </c>
      <c r="BN417" t="s">
        <v>74</v>
      </c>
      <c r="BO417" t="s">
        <v>1384</v>
      </c>
      <c r="BP417" t="s">
        <v>74</v>
      </c>
      <c r="BQ417" t="s">
        <v>74</v>
      </c>
      <c r="BR417" t="s">
        <v>100</v>
      </c>
      <c r="BS417" t="s">
        <v>6569</v>
      </c>
      <c r="BT417" t="str">
        <f>HYPERLINK("https%3A%2F%2Fwww.webofscience.com%2Fwos%2Fwoscc%2Ffull-record%2FWOS:000270756700008","View Full Record in Web of Science")</f>
        <v>View Full Record in Web of Science</v>
      </c>
    </row>
    <row r="418" spans="1:72" x14ac:dyDescent="0.15">
      <c r="A418" t="s">
        <v>213</v>
      </c>
      <c r="B418" t="s">
        <v>6524</v>
      </c>
      <c r="C418" t="s">
        <v>6524</v>
      </c>
      <c r="D418" t="s">
        <v>74</v>
      </c>
      <c r="E418" t="s">
        <v>74</v>
      </c>
      <c r="F418" t="s">
        <v>6525</v>
      </c>
      <c r="G418" t="s">
        <v>6524</v>
      </c>
      <c r="H418" t="s">
        <v>74</v>
      </c>
      <c r="I418" t="s">
        <v>6570</v>
      </c>
      <c r="J418" t="s">
        <v>6527</v>
      </c>
      <c r="K418" t="s">
        <v>6528</v>
      </c>
      <c r="L418" t="s">
        <v>74</v>
      </c>
      <c r="M418" t="s">
        <v>78</v>
      </c>
      <c r="N418" t="s">
        <v>219</v>
      </c>
      <c r="O418" t="s">
        <v>74</v>
      </c>
      <c r="P418" t="s">
        <v>74</v>
      </c>
      <c r="Q418" t="s">
        <v>74</v>
      </c>
      <c r="R418" t="s">
        <v>74</v>
      </c>
      <c r="S418" t="s">
        <v>74</v>
      </c>
      <c r="T418" t="s">
        <v>74</v>
      </c>
      <c r="U418" t="s">
        <v>74</v>
      </c>
      <c r="V418" t="s">
        <v>74</v>
      </c>
      <c r="W418" t="s">
        <v>6529</v>
      </c>
      <c r="X418" t="s">
        <v>6546</v>
      </c>
      <c r="Y418" t="s">
        <v>6531</v>
      </c>
      <c r="Z418" t="s">
        <v>6532</v>
      </c>
      <c r="AA418" t="s">
        <v>6567</v>
      </c>
      <c r="AB418" t="s">
        <v>6568</v>
      </c>
      <c r="AC418" t="s">
        <v>74</v>
      </c>
      <c r="AD418" t="s">
        <v>74</v>
      </c>
      <c r="AE418" t="s">
        <v>74</v>
      </c>
      <c r="AF418" t="s">
        <v>74</v>
      </c>
      <c r="AG418">
        <v>0</v>
      </c>
      <c r="AH418">
        <v>0</v>
      </c>
      <c r="AI418">
        <v>0</v>
      </c>
      <c r="AJ418">
        <v>0</v>
      </c>
      <c r="AK418">
        <v>2</v>
      </c>
      <c r="AL418" t="s">
        <v>6534</v>
      </c>
      <c r="AM418" t="s">
        <v>6535</v>
      </c>
      <c r="AN418" t="s">
        <v>6536</v>
      </c>
      <c r="AO418" t="s">
        <v>74</v>
      </c>
      <c r="AP418" t="s">
        <v>74</v>
      </c>
      <c r="AQ418" t="s">
        <v>6537</v>
      </c>
      <c r="AR418" t="s">
        <v>6538</v>
      </c>
      <c r="AS418" t="s">
        <v>74</v>
      </c>
      <c r="AT418" t="s">
        <v>74</v>
      </c>
      <c r="AU418">
        <v>2007</v>
      </c>
      <c r="AV418" t="s">
        <v>74</v>
      </c>
      <c r="AW418" t="s">
        <v>74</v>
      </c>
      <c r="AX418" t="s">
        <v>74</v>
      </c>
      <c r="AY418" t="s">
        <v>74</v>
      </c>
      <c r="AZ418" t="s">
        <v>74</v>
      </c>
      <c r="BA418" t="s">
        <v>74</v>
      </c>
      <c r="BB418">
        <v>397</v>
      </c>
      <c r="BC418">
        <v>422</v>
      </c>
      <c r="BD418" t="s">
        <v>74</v>
      </c>
      <c r="BE418" t="s">
        <v>74</v>
      </c>
      <c r="BF418" t="s">
        <v>74</v>
      </c>
      <c r="BG418" t="s">
        <v>6539</v>
      </c>
      <c r="BH418" t="s">
        <v>74</v>
      </c>
      <c r="BI418">
        <v>26</v>
      </c>
      <c r="BJ418" t="s">
        <v>6540</v>
      </c>
      <c r="BK418" t="s">
        <v>238</v>
      </c>
      <c r="BL418" t="s">
        <v>6541</v>
      </c>
      <c r="BM418" t="s">
        <v>6542</v>
      </c>
      <c r="BN418" t="s">
        <v>74</v>
      </c>
      <c r="BO418" t="s">
        <v>1384</v>
      </c>
      <c r="BP418" t="s">
        <v>74</v>
      </c>
      <c r="BQ418" t="s">
        <v>74</v>
      </c>
      <c r="BR418" t="s">
        <v>100</v>
      </c>
      <c r="BS418" t="s">
        <v>6571</v>
      </c>
      <c r="BT418" t="str">
        <f>HYPERLINK("https%3A%2F%2Fwww.webofscience.com%2Fwos%2Fwoscc%2Ffull-record%2FWOS:000270756700009","View Full Record in Web of Science")</f>
        <v>View Full Record in Web of Science</v>
      </c>
    </row>
    <row r="419" spans="1:72" x14ac:dyDescent="0.15">
      <c r="A419" t="s">
        <v>213</v>
      </c>
      <c r="B419" t="s">
        <v>6524</v>
      </c>
      <c r="C419" t="s">
        <v>6524</v>
      </c>
      <c r="D419" t="s">
        <v>74</v>
      </c>
      <c r="E419" t="s">
        <v>74</v>
      </c>
      <c r="F419" t="s">
        <v>6525</v>
      </c>
      <c r="G419" t="s">
        <v>6524</v>
      </c>
      <c r="H419" t="s">
        <v>74</v>
      </c>
      <c r="I419" t="s">
        <v>6572</v>
      </c>
      <c r="J419" t="s">
        <v>6527</v>
      </c>
      <c r="K419" t="s">
        <v>6528</v>
      </c>
      <c r="L419" t="s">
        <v>74</v>
      </c>
      <c r="M419" t="s">
        <v>78</v>
      </c>
      <c r="N419" t="s">
        <v>925</v>
      </c>
      <c r="O419" t="s">
        <v>74</v>
      </c>
      <c r="P419" t="s">
        <v>74</v>
      </c>
      <c r="Q419" t="s">
        <v>74</v>
      </c>
      <c r="R419" t="s">
        <v>74</v>
      </c>
      <c r="S419" t="s">
        <v>74</v>
      </c>
      <c r="T419" t="s">
        <v>74</v>
      </c>
      <c r="U419" t="s">
        <v>74</v>
      </c>
      <c r="V419" t="s">
        <v>74</v>
      </c>
      <c r="W419" t="s">
        <v>6529</v>
      </c>
      <c r="X419" t="s">
        <v>6530</v>
      </c>
      <c r="Y419" t="s">
        <v>6531</v>
      </c>
      <c r="Z419" t="s">
        <v>6532</v>
      </c>
      <c r="AA419" t="s">
        <v>6573</v>
      </c>
      <c r="AB419" t="s">
        <v>6568</v>
      </c>
      <c r="AC419" t="s">
        <v>74</v>
      </c>
      <c r="AD419" t="s">
        <v>74</v>
      </c>
      <c r="AE419" t="s">
        <v>74</v>
      </c>
      <c r="AF419" t="s">
        <v>74</v>
      </c>
      <c r="AG419">
        <v>0</v>
      </c>
      <c r="AH419">
        <v>1</v>
      </c>
      <c r="AI419">
        <v>1</v>
      </c>
      <c r="AJ419">
        <v>0</v>
      </c>
      <c r="AK419">
        <v>2</v>
      </c>
      <c r="AL419" t="s">
        <v>6534</v>
      </c>
      <c r="AM419" t="s">
        <v>6535</v>
      </c>
      <c r="AN419" t="s">
        <v>6536</v>
      </c>
      <c r="AO419" t="s">
        <v>74</v>
      </c>
      <c r="AP419" t="s">
        <v>74</v>
      </c>
      <c r="AQ419" t="s">
        <v>6537</v>
      </c>
      <c r="AR419" t="s">
        <v>6538</v>
      </c>
      <c r="AS419" t="s">
        <v>74</v>
      </c>
      <c r="AT419" t="s">
        <v>74</v>
      </c>
      <c r="AU419">
        <v>2007</v>
      </c>
      <c r="AV419" t="s">
        <v>74</v>
      </c>
      <c r="AW419" t="s">
        <v>74</v>
      </c>
      <c r="AX419" t="s">
        <v>74</v>
      </c>
      <c r="AY419" t="s">
        <v>74</v>
      </c>
      <c r="AZ419" t="s">
        <v>74</v>
      </c>
      <c r="BA419" t="s">
        <v>74</v>
      </c>
      <c r="BB419">
        <v>423</v>
      </c>
      <c r="BC419">
        <v>425</v>
      </c>
      <c r="BD419" t="s">
        <v>74</v>
      </c>
      <c r="BE419" t="s">
        <v>74</v>
      </c>
      <c r="BF419" t="s">
        <v>74</v>
      </c>
      <c r="BG419" t="s">
        <v>6539</v>
      </c>
      <c r="BH419" t="s">
        <v>74</v>
      </c>
      <c r="BI419">
        <v>3</v>
      </c>
      <c r="BJ419" t="s">
        <v>6540</v>
      </c>
      <c r="BK419" t="s">
        <v>238</v>
      </c>
      <c r="BL419" t="s">
        <v>6541</v>
      </c>
      <c r="BM419" t="s">
        <v>6542</v>
      </c>
      <c r="BN419" t="s">
        <v>74</v>
      </c>
      <c r="BO419" t="s">
        <v>1384</v>
      </c>
      <c r="BP419" t="s">
        <v>74</v>
      </c>
      <c r="BQ419" t="s">
        <v>74</v>
      </c>
      <c r="BR419" t="s">
        <v>100</v>
      </c>
      <c r="BS419" t="s">
        <v>6574</v>
      </c>
      <c r="BT419" t="str">
        <f>HYPERLINK("https%3A%2F%2Fwww.webofscience.com%2Fwos%2Fwoscc%2Ffull-record%2FWOS:000270756700010","View Full Record in Web of Science")</f>
        <v>View Full Record in Web of Science</v>
      </c>
    </row>
    <row r="420" spans="1:72" x14ac:dyDescent="0.15">
      <c r="A420" t="s">
        <v>241</v>
      </c>
      <c r="B420" t="s">
        <v>6575</v>
      </c>
      <c r="C420" t="s">
        <v>74</v>
      </c>
      <c r="D420" t="s">
        <v>6576</v>
      </c>
      <c r="E420" t="s">
        <v>74</v>
      </c>
      <c r="F420" t="s">
        <v>6577</v>
      </c>
      <c r="G420" t="s">
        <v>74</v>
      </c>
      <c r="H420" t="s">
        <v>74</v>
      </c>
      <c r="I420" t="s">
        <v>6578</v>
      </c>
      <c r="J420" t="s">
        <v>6579</v>
      </c>
      <c r="K420" t="s">
        <v>6580</v>
      </c>
      <c r="L420" t="s">
        <v>74</v>
      </c>
      <c r="M420" t="s">
        <v>78</v>
      </c>
      <c r="N420" t="s">
        <v>248</v>
      </c>
      <c r="O420" t="s">
        <v>6581</v>
      </c>
      <c r="P420" t="s">
        <v>6582</v>
      </c>
      <c r="Q420" t="s">
        <v>6583</v>
      </c>
      <c r="R420" t="s">
        <v>74</v>
      </c>
      <c r="S420" t="s">
        <v>74</v>
      </c>
      <c r="T420" t="s">
        <v>6584</v>
      </c>
      <c r="U420" t="s">
        <v>6585</v>
      </c>
      <c r="V420" t="s">
        <v>6586</v>
      </c>
      <c r="W420" t="s">
        <v>6587</v>
      </c>
      <c r="X420" t="s">
        <v>74</v>
      </c>
      <c r="Y420" t="s">
        <v>6588</v>
      </c>
      <c r="Z420" t="s">
        <v>74</v>
      </c>
      <c r="AA420" t="s">
        <v>74</v>
      </c>
      <c r="AB420" t="s">
        <v>74</v>
      </c>
      <c r="AC420" t="s">
        <v>74</v>
      </c>
      <c r="AD420" t="s">
        <v>74</v>
      </c>
      <c r="AE420" t="s">
        <v>74</v>
      </c>
      <c r="AF420" t="s">
        <v>74</v>
      </c>
      <c r="AG420">
        <v>23</v>
      </c>
      <c r="AH420">
        <v>0</v>
      </c>
      <c r="AI420">
        <v>0</v>
      </c>
      <c r="AJ420">
        <v>0</v>
      </c>
      <c r="AK420">
        <v>2</v>
      </c>
      <c r="AL420" t="s">
        <v>704</v>
      </c>
      <c r="AM420" t="s">
        <v>705</v>
      </c>
      <c r="AN420" t="s">
        <v>706</v>
      </c>
      <c r="AO420" t="s">
        <v>707</v>
      </c>
      <c r="AP420" t="s">
        <v>74</v>
      </c>
      <c r="AQ420" t="s">
        <v>6589</v>
      </c>
      <c r="AR420" t="s">
        <v>709</v>
      </c>
      <c r="AS420" t="s">
        <v>74</v>
      </c>
      <c r="AT420" t="s">
        <v>74</v>
      </c>
      <c r="AU420">
        <v>2007</v>
      </c>
      <c r="AV420">
        <v>900</v>
      </c>
      <c r="AW420" t="s">
        <v>74</v>
      </c>
      <c r="AX420" t="s">
        <v>74</v>
      </c>
      <c r="AY420" t="s">
        <v>74</v>
      </c>
      <c r="AZ420" t="s">
        <v>74</v>
      </c>
      <c r="BA420" t="s">
        <v>74</v>
      </c>
      <c r="BB420">
        <v>383</v>
      </c>
      <c r="BC420">
        <v>388</v>
      </c>
      <c r="BD420" t="s">
        <v>74</v>
      </c>
      <c r="BE420" t="s">
        <v>74</v>
      </c>
      <c r="BF420" t="s">
        <v>74</v>
      </c>
      <c r="BG420" t="s">
        <v>74</v>
      </c>
      <c r="BH420" t="s">
        <v>74</v>
      </c>
      <c r="BI420">
        <v>6</v>
      </c>
      <c r="BJ420" t="s">
        <v>6590</v>
      </c>
      <c r="BK420" t="s">
        <v>266</v>
      </c>
      <c r="BL420" t="s">
        <v>6590</v>
      </c>
      <c r="BM420" t="s">
        <v>6591</v>
      </c>
      <c r="BN420" t="s">
        <v>74</v>
      </c>
      <c r="BO420" t="s">
        <v>74</v>
      </c>
      <c r="BP420" t="s">
        <v>74</v>
      </c>
      <c r="BQ420" t="s">
        <v>74</v>
      </c>
      <c r="BR420" t="s">
        <v>100</v>
      </c>
      <c r="BS420" t="s">
        <v>6592</v>
      </c>
      <c r="BT420" t="str">
        <f>HYPERLINK("https%3A%2F%2Fwww.webofscience.com%2Fwos%2Fwoscc%2Ffull-record%2FWOS:000246135200048","View Full Record in Web of Science")</f>
        <v>View Full Record in Web of Science</v>
      </c>
    </row>
    <row r="421" spans="1:72" x14ac:dyDescent="0.15">
      <c r="A421" t="s">
        <v>72</v>
      </c>
      <c r="B421" t="s">
        <v>6593</v>
      </c>
      <c r="C421" t="s">
        <v>74</v>
      </c>
      <c r="D421" t="s">
        <v>74</v>
      </c>
      <c r="E421" t="s">
        <v>74</v>
      </c>
      <c r="F421" t="s">
        <v>6594</v>
      </c>
      <c r="G421" t="s">
        <v>74</v>
      </c>
      <c r="H421" t="s">
        <v>74</v>
      </c>
      <c r="I421" t="s">
        <v>6595</v>
      </c>
      <c r="J421" t="s">
        <v>6596</v>
      </c>
      <c r="K421" t="s">
        <v>74</v>
      </c>
      <c r="L421" t="s">
        <v>74</v>
      </c>
      <c r="M421" t="s">
        <v>627</v>
      </c>
      <c r="N421" t="s">
        <v>79</v>
      </c>
      <c r="O421" t="s">
        <v>74</v>
      </c>
      <c r="P421" t="s">
        <v>74</v>
      </c>
      <c r="Q421" t="s">
        <v>74</v>
      </c>
      <c r="R421" t="s">
        <v>74</v>
      </c>
      <c r="S421" t="s">
        <v>74</v>
      </c>
      <c r="T421" t="s">
        <v>74</v>
      </c>
      <c r="U421" t="s">
        <v>74</v>
      </c>
      <c r="V421" t="s">
        <v>6597</v>
      </c>
      <c r="W421" t="s">
        <v>6598</v>
      </c>
      <c r="X421" t="s">
        <v>6599</v>
      </c>
      <c r="Y421" t="s">
        <v>6600</v>
      </c>
      <c r="Z421" t="s">
        <v>6601</v>
      </c>
      <c r="AA421" t="s">
        <v>6602</v>
      </c>
      <c r="AB421" t="s">
        <v>6603</v>
      </c>
      <c r="AC421" t="s">
        <v>74</v>
      </c>
      <c r="AD421" t="s">
        <v>74</v>
      </c>
      <c r="AE421" t="s">
        <v>74</v>
      </c>
      <c r="AF421" t="s">
        <v>74</v>
      </c>
      <c r="AG421">
        <v>0</v>
      </c>
      <c r="AH421">
        <v>3</v>
      </c>
      <c r="AI421">
        <v>4</v>
      </c>
      <c r="AJ421">
        <v>0</v>
      </c>
      <c r="AK421">
        <v>0</v>
      </c>
      <c r="AL421" t="s">
        <v>6604</v>
      </c>
      <c r="AM421" t="s">
        <v>636</v>
      </c>
      <c r="AN421" t="s">
        <v>6605</v>
      </c>
      <c r="AO421" t="s">
        <v>6606</v>
      </c>
      <c r="AP421" t="s">
        <v>6607</v>
      </c>
      <c r="AQ421" t="s">
        <v>74</v>
      </c>
      <c r="AR421" t="s">
        <v>6608</v>
      </c>
      <c r="AS421" t="s">
        <v>6609</v>
      </c>
      <c r="AT421" t="s">
        <v>74</v>
      </c>
      <c r="AU421">
        <v>2007</v>
      </c>
      <c r="AV421">
        <v>20</v>
      </c>
      <c r="AW421" t="s">
        <v>94</v>
      </c>
      <c r="AX421" t="s">
        <v>74</v>
      </c>
      <c r="AY421" t="s">
        <v>74</v>
      </c>
      <c r="AZ421" t="s">
        <v>74</v>
      </c>
      <c r="BA421" t="s">
        <v>74</v>
      </c>
      <c r="BB421">
        <v>89</v>
      </c>
      <c r="BC421">
        <v>103</v>
      </c>
      <c r="BD421" t="s">
        <v>74</v>
      </c>
      <c r="BE421" t="s">
        <v>74</v>
      </c>
      <c r="BF421" t="s">
        <v>74</v>
      </c>
      <c r="BG421" t="s">
        <v>74</v>
      </c>
      <c r="BH421" t="s">
        <v>74</v>
      </c>
      <c r="BI421">
        <v>15</v>
      </c>
      <c r="BJ421" t="s">
        <v>1182</v>
      </c>
      <c r="BK421" t="s">
        <v>643</v>
      </c>
      <c r="BL421" t="s">
        <v>642</v>
      </c>
      <c r="BM421" t="s">
        <v>6610</v>
      </c>
      <c r="BN421" t="s">
        <v>74</v>
      </c>
      <c r="BO421" t="s">
        <v>74</v>
      </c>
      <c r="BP421" t="s">
        <v>74</v>
      </c>
      <c r="BQ421" t="s">
        <v>74</v>
      </c>
      <c r="BR421" t="s">
        <v>100</v>
      </c>
      <c r="BS421" t="s">
        <v>6611</v>
      </c>
      <c r="BT421" t="str">
        <f>HYPERLINK("https%3A%2F%2Fwww.webofscience.com%2Fwos%2Fwoscc%2Ffull-record%2FWOS:000416131300006","View Full Record in Web of Science")</f>
        <v>View Full Record in Web of Science</v>
      </c>
    </row>
    <row r="422" spans="1:72" x14ac:dyDescent="0.15">
      <c r="A422" t="s">
        <v>72</v>
      </c>
      <c r="B422" t="s">
        <v>6612</v>
      </c>
      <c r="C422" t="s">
        <v>74</v>
      </c>
      <c r="D422" t="s">
        <v>74</v>
      </c>
      <c r="E422" t="s">
        <v>74</v>
      </c>
      <c r="F422" t="s">
        <v>6613</v>
      </c>
      <c r="G422" t="s">
        <v>74</v>
      </c>
      <c r="H422" t="s">
        <v>74</v>
      </c>
      <c r="I422" t="s">
        <v>6614</v>
      </c>
      <c r="J422" t="s">
        <v>6615</v>
      </c>
      <c r="K422" t="s">
        <v>74</v>
      </c>
      <c r="L422" t="s">
        <v>74</v>
      </c>
      <c r="M422" t="s">
        <v>78</v>
      </c>
      <c r="N422" t="s">
        <v>79</v>
      </c>
      <c r="O422" t="s">
        <v>74</v>
      </c>
      <c r="P422" t="s">
        <v>74</v>
      </c>
      <c r="Q422" t="s">
        <v>74</v>
      </c>
      <c r="R422" t="s">
        <v>74</v>
      </c>
      <c r="S422" t="s">
        <v>74</v>
      </c>
      <c r="T422" t="s">
        <v>6616</v>
      </c>
      <c r="U422" t="s">
        <v>6617</v>
      </c>
      <c r="V422" t="s">
        <v>6618</v>
      </c>
      <c r="W422" t="s">
        <v>6619</v>
      </c>
      <c r="X422" t="s">
        <v>74</v>
      </c>
      <c r="Y422" t="s">
        <v>6620</v>
      </c>
      <c r="Z422" t="s">
        <v>6621</v>
      </c>
      <c r="AA422" t="s">
        <v>74</v>
      </c>
      <c r="AB422" t="s">
        <v>74</v>
      </c>
      <c r="AC422" t="s">
        <v>74</v>
      </c>
      <c r="AD422" t="s">
        <v>74</v>
      </c>
      <c r="AE422" t="s">
        <v>74</v>
      </c>
      <c r="AF422" t="s">
        <v>74</v>
      </c>
      <c r="AG422">
        <v>91</v>
      </c>
      <c r="AH422">
        <v>39</v>
      </c>
      <c r="AI422">
        <v>41</v>
      </c>
      <c r="AJ422">
        <v>0</v>
      </c>
      <c r="AK422">
        <v>0</v>
      </c>
      <c r="AL422" t="s">
        <v>6622</v>
      </c>
      <c r="AM422" t="s">
        <v>6623</v>
      </c>
      <c r="AN422" t="s">
        <v>6624</v>
      </c>
      <c r="AO422" t="s">
        <v>6625</v>
      </c>
      <c r="AP422" t="s">
        <v>74</v>
      </c>
      <c r="AQ422" t="s">
        <v>74</v>
      </c>
      <c r="AR422" t="s">
        <v>6626</v>
      </c>
      <c r="AS422" t="s">
        <v>6627</v>
      </c>
      <c r="AT422" t="s">
        <v>661</v>
      </c>
      <c r="AU422">
        <v>2007</v>
      </c>
      <c r="AV422">
        <v>34</v>
      </c>
      <c r="AW422">
        <v>1</v>
      </c>
      <c r="AX422" t="s">
        <v>74</v>
      </c>
      <c r="AY422" t="s">
        <v>74</v>
      </c>
      <c r="AZ422" t="s">
        <v>74</v>
      </c>
      <c r="BA422" t="s">
        <v>74</v>
      </c>
      <c r="BB422">
        <v>63</v>
      </c>
      <c r="BC422">
        <v>79</v>
      </c>
      <c r="BD422" t="s">
        <v>74</v>
      </c>
      <c r="BE422" t="s">
        <v>74</v>
      </c>
      <c r="BF422" t="s">
        <v>74</v>
      </c>
      <c r="BG422" t="s">
        <v>74</v>
      </c>
      <c r="BH422" t="s">
        <v>74</v>
      </c>
      <c r="BI422">
        <v>17</v>
      </c>
      <c r="BJ422" t="s">
        <v>642</v>
      </c>
      <c r="BK422" t="s">
        <v>97</v>
      </c>
      <c r="BL422" t="s">
        <v>642</v>
      </c>
      <c r="BM422" t="s">
        <v>6628</v>
      </c>
      <c r="BN422" t="s">
        <v>74</v>
      </c>
      <c r="BO422" t="s">
        <v>74</v>
      </c>
      <c r="BP422" t="s">
        <v>74</v>
      </c>
      <c r="BQ422" t="s">
        <v>74</v>
      </c>
      <c r="BR422" t="s">
        <v>100</v>
      </c>
      <c r="BS422" t="s">
        <v>6629</v>
      </c>
      <c r="BT422" t="str">
        <f>HYPERLINK("https%3A%2F%2Fwww.webofscience.com%2Fwos%2Fwoscc%2Ffull-record%2FWOS:000243768300004","View Full Record in Web of Science")</f>
        <v>View Full Record in Web of Science</v>
      </c>
    </row>
    <row r="423" spans="1:72" x14ac:dyDescent="0.15">
      <c r="A423" t="s">
        <v>72</v>
      </c>
      <c r="B423" t="s">
        <v>6630</v>
      </c>
      <c r="C423" t="s">
        <v>74</v>
      </c>
      <c r="D423" t="s">
        <v>74</v>
      </c>
      <c r="E423" t="s">
        <v>74</v>
      </c>
      <c r="F423" t="s">
        <v>6631</v>
      </c>
      <c r="G423" t="s">
        <v>74</v>
      </c>
      <c r="H423" t="s">
        <v>74</v>
      </c>
      <c r="I423" t="s">
        <v>6632</v>
      </c>
      <c r="J423" t="s">
        <v>6633</v>
      </c>
      <c r="K423" t="s">
        <v>74</v>
      </c>
      <c r="L423" t="s">
        <v>74</v>
      </c>
      <c r="M423" t="s">
        <v>78</v>
      </c>
      <c r="N423" t="s">
        <v>79</v>
      </c>
      <c r="O423" t="s">
        <v>74</v>
      </c>
      <c r="P423" t="s">
        <v>74</v>
      </c>
      <c r="Q423" t="s">
        <v>74</v>
      </c>
      <c r="R423" t="s">
        <v>74</v>
      </c>
      <c r="S423" t="s">
        <v>74</v>
      </c>
      <c r="T423" t="s">
        <v>6634</v>
      </c>
      <c r="U423" t="s">
        <v>74</v>
      </c>
      <c r="V423" t="s">
        <v>6635</v>
      </c>
      <c r="W423" t="s">
        <v>6636</v>
      </c>
      <c r="X423" t="s">
        <v>6637</v>
      </c>
      <c r="Y423" t="s">
        <v>6638</v>
      </c>
      <c r="Z423" t="s">
        <v>6639</v>
      </c>
      <c r="AA423" t="s">
        <v>74</v>
      </c>
      <c r="AB423" t="s">
        <v>74</v>
      </c>
      <c r="AC423" t="s">
        <v>74</v>
      </c>
      <c r="AD423" t="s">
        <v>74</v>
      </c>
      <c r="AE423" t="s">
        <v>74</v>
      </c>
      <c r="AF423" t="s">
        <v>74</v>
      </c>
      <c r="AG423">
        <v>59</v>
      </c>
      <c r="AH423">
        <v>10</v>
      </c>
      <c r="AI423">
        <v>10</v>
      </c>
      <c r="AJ423">
        <v>1</v>
      </c>
      <c r="AK423">
        <v>6</v>
      </c>
      <c r="AL423" t="s">
        <v>6640</v>
      </c>
      <c r="AM423" t="s">
        <v>678</v>
      </c>
      <c r="AN423" t="s">
        <v>6641</v>
      </c>
      <c r="AO423" t="s">
        <v>6642</v>
      </c>
      <c r="AP423" t="s">
        <v>6643</v>
      </c>
      <c r="AQ423" t="s">
        <v>74</v>
      </c>
      <c r="AR423" t="s">
        <v>6644</v>
      </c>
      <c r="AS423" t="s">
        <v>6645</v>
      </c>
      <c r="AT423" t="s">
        <v>166</v>
      </c>
      <c r="AU423">
        <v>2007</v>
      </c>
      <c r="AV423">
        <v>33</v>
      </c>
      <c r="AW423">
        <v>1</v>
      </c>
      <c r="AX423" t="s">
        <v>74</v>
      </c>
      <c r="AY423" t="s">
        <v>74</v>
      </c>
      <c r="AZ423" t="s">
        <v>74</v>
      </c>
      <c r="BA423" t="s">
        <v>74</v>
      </c>
      <c r="BB423">
        <v>1</v>
      </c>
      <c r="BC423">
        <v>16</v>
      </c>
      <c r="BD423" t="s">
        <v>74</v>
      </c>
      <c r="BE423" t="s">
        <v>6646</v>
      </c>
      <c r="BF423" t="str">
        <f>HYPERLINK("http://dx.doi.org/10.1134/S1063074007010014","http://dx.doi.org/10.1134/S1063074007010014")</f>
        <v>http://dx.doi.org/10.1134/S1063074007010014</v>
      </c>
      <c r="BG423" t="s">
        <v>74</v>
      </c>
      <c r="BH423" t="s">
        <v>74</v>
      </c>
      <c r="BI423">
        <v>16</v>
      </c>
      <c r="BJ423" t="s">
        <v>122</v>
      </c>
      <c r="BK423" t="s">
        <v>97</v>
      </c>
      <c r="BL423" t="s">
        <v>122</v>
      </c>
      <c r="BM423" t="s">
        <v>6647</v>
      </c>
      <c r="BN423" t="s">
        <v>74</v>
      </c>
      <c r="BO423" t="s">
        <v>74</v>
      </c>
      <c r="BP423" t="s">
        <v>74</v>
      </c>
      <c r="BQ423" t="s">
        <v>74</v>
      </c>
      <c r="BR423" t="s">
        <v>100</v>
      </c>
      <c r="BS423" t="s">
        <v>6648</v>
      </c>
      <c r="BT423" t="str">
        <f>HYPERLINK("https%3A%2F%2Fwww.webofscience.com%2Fwos%2Fwoscc%2Ffull-record%2FWOS:000254470000001","View Full Record in Web of Science")</f>
        <v>View Full Record in Web of Science</v>
      </c>
    </row>
    <row r="424" spans="1:72" x14ac:dyDescent="0.15">
      <c r="A424" t="s">
        <v>72</v>
      </c>
      <c r="B424" t="s">
        <v>6649</v>
      </c>
      <c r="C424" t="s">
        <v>74</v>
      </c>
      <c r="D424" t="s">
        <v>74</v>
      </c>
      <c r="E424" t="s">
        <v>74</v>
      </c>
      <c r="F424" t="s">
        <v>6650</v>
      </c>
      <c r="G424" t="s">
        <v>74</v>
      </c>
      <c r="H424" t="s">
        <v>74</v>
      </c>
      <c r="I424" t="s">
        <v>6651</v>
      </c>
      <c r="J424" t="s">
        <v>6652</v>
      </c>
      <c r="K424" t="s">
        <v>74</v>
      </c>
      <c r="L424" t="s">
        <v>74</v>
      </c>
      <c r="M424" t="s">
        <v>78</v>
      </c>
      <c r="N424" t="s">
        <v>79</v>
      </c>
      <c r="O424" t="s">
        <v>74</v>
      </c>
      <c r="P424" t="s">
        <v>74</v>
      </c>
      <c r="Q424" t="s">
        <v>74</v>
      </c>
      <c r="R424" t="s">
        <v>74</v>
      </c>
      <c r="S424" t="s">
        <v>74</v>
      </c>
      <c r="T424" t="s">
        <v>6653</v>
      </c>
      <c r="U424" t="s">
        <v>6654</v>
      </c>
      <c r="V424" t="s">
        <v>6655</v>
      </c>
      <c r="W424" t="s">
        <v>4654</v>
      </c>
      <c r="X424" t="s">
        <v>514</v>
      </c>
      <c r="Y424" t="s">
        <v>6656</v>
      </c>
      <c r="Z424" t="s">
        <v>6657</v>
      </c>
      <c r="AA424" t="s">
        <v>6658</v>
      </c>
      <c r="AB424" t="s">
        <v>137</v>
      </c>
      <c r="AC424" t="s">
        <v>6659</v>
      </c>
      <c r="AD424" t="s">
        <v>158</v>
      </c>
      <c r="AE424" t="s">
        <v>74</v>
      </c>
      <c r="AF424" t="s">
        <v>74</v>
      </c>
      <c r="AG424">
        <v>40</v>
      </c>
      <c r="AH424">
        <v>49</v>
      </c>
      <c r="AI424">
        <v>53</v>
      </c>
      <c r="AJ424">
        <v>3</v>
      </c>
      <c r="AK424">
        <v>40</v>
      </c>
      <c r="AL424" t="s">
        <v>2829</v>
      </c>
      <c r="AM424" t="s">
        <v>903</v>
      </c>
      <c r="AN424" t="s">
        <v>2830</v>
      </c>
      <c r="AO424" t="s">
        <v>6660</v>
      </c>
      <c r="AP424" t="s">
        <v>6661</v>
      </c>
      <c r="AQ424" t="s">
        <v>74</v>
      </c>
      <c r="AR424" t="s">
        <v>6662</v>
      </c>
      <c r="AS424" t="s">
        <v>6663</v>
      </c>
      <c r="AT424" t="s">
        <v>2639</v>
      </c>
      <c r="AU424">
        <v>2007</v>
      </c>
      <c r="AV424">
        <v>372</v>
      </c>
      <c r="AW424" t="s">
        <v>6664</v>
      </c>
      <c r="AX424" t="s">
        <v>74</v>
      </c>
      <c r="AY424" t="s">
        <v>74</v>
      </c>
      <c r="AZ424" t="s">
        <v>74</v>
      </c>
      <c r="BA424" t="s">
        <v>74</v>
      </c>
      <c r="BB424">
        <v>539</v>
      </c>
      <c r="BC424">
        <v>548</v>
      </c>
      <c r="BD424" t="s">
        <v>74</v>
      </c>
      <c r="BE424" t="s">
        <v>6665</v>
      </c>
      <c r="BF424" t="str">
        <f>HYPERLINK("http://dx.doi.org/10.1016/j.scitotenv.2006.09.016","http://dx.doi.org/10.1016/j.scitotenv.2006.09.016")</f>
        <v>http://dx.doi.org/10.1016/j.scitotenv.2006.09.016</v>
      </c>
      <c r="BG424" t="s">
        <v>74</v>
      </c>
      <c r="BH424" t="s">
        <v>74</v>
      </c>
      <c r="BI424">
        <v>10</v>
      </c>
      <c r="BJ424" t="s">
        <v>237</v>
      </c>
      <c r="BK424" t="s">
        <v>97</v>
      </c>
      <c r="BL424" t="s">
        <v>226</v>
      </c>
      <c r="BM424" t="s">
        <v>6666</v>
      </c>
      <c r="BN424">
        <v>17157897</v>
      </c>
      <c r="BO424" t="s">
        <v>74</v>
      </c>
      <c r="BP424" t="s">
        <v>74</v>
      </c>
      <c r="BQ424" t="s">
        <v>74</v>
      </c>
      <c r="BR424" t="s">
        <v>100</v>
      </c>
      <c r="BS424" t="s">
        <v>6667</v>
      </c>
      <c r="BT424" t="str">
        <f>HYPERLINK("https%3A%2F%2Fwww.webofscience.com%2Fwos%2Fwoscc%2Ffull-record%2FWOS:000243797300018","View Full Record in Web of Science")</f>
        <v>View Full Record in Web of Science</v>
      </c>
    </row>
    <row r="425" spans="1:72" x14ac:dyDescent="0.15">
      <c r="A425" t="s">
        <v>72</v>
      </c>
      <c r="B425" t="s">
        <v>6668</v>
      </c>
      <c r="C425" t="s">
        <v>74</v>
      </c>
      <c r="D425" t="s">
        <v>74</v>
      </c>
      <c r="E425" t="s">
        <v>74</v>
      </c>
      <c r="F425" t="s">
        <v>6669</v>
      </c>
      <c r="G425" t="s">
        <v>74</v>
      </c>
      <c r="H425" t="s">
        <v>74</v>
      </c>
      <c r="I425" t="s">
        <v>6670</v>
      </c>
      <c r="J425" t="s">
        <v>6671</v>
      </c>
      <c r="K425" t="s">
        <v>74</v>
      </c>
      <c r="L425" t="s">
        <v>74</v>
      </c>
      <c r="M425" t="s">
        <v>78</v>
      </c>
      <c r="N425" t="s">
        <v>79</v>
      </c>
      <c r="O425" t="s">
        <v>74</v>
      </c>
      <c r="P425" t="s">
        <v>74</v>
      </c>
      <c r="Q425" t="s">
        <v>74</v>
      </c>
      <c r="R425" t="s">
        <v>74</v>
      </c>
      <c r="S425" t="s">
        <v>74</v>
      </c>
      <c r="T425" t="s">
        <v>6672</v>
      </c>
      <c r="U425" t="s">
        <v>74</v>
      </c>
      <c r="V425" t="s">
        <v>6673</v>
      </c>
      <c r="W425" t="s">
        <v>6674</v>
      </c>
      <c r="X425" t="s">
        <v>2179</v>
      </c>
      <c r="Y425" t="s">
        <v>6675</v>
      </c>
      <c r="Z425" t="s">
        <v>6676</v>
      </c>
      <c r="AA425" t="s">
        <v>74</v>
      </c>
      <c r="AB425" t="s">
        <v>74</v>
      </c>
      <c r="AC425" t="s">
        <v>74</v>
      </c>
      <c r="AD425" t="s">
        <v>74</v>
      </c>
      <c r="AE425" t="s">
        <v>74</v>
      </c>
      <c r="AF425" t="s">
        <v>74</v>
      </c>
      <c r="AG425">
        <v>56</v>
      </c>
      <c r="AH425">
        <v>6</v>
      </c>
      <c r="AI425">
        <v>6</v>
      </c>
      <c r="AJ425">
        <v>0</v>
      </c>
      <c r="AK425">
        <v>1</v>
      </c>
      <c r="AL425" t="s">
        <v>4040</v>
      </c>
      <c r="AM425" t="s">
        <v>2429</v>
      </c>
      <c r="AN425" t="s">
        <v>6677</v>
      </c>
      <c r="AO425" t="s">
        <v>6678</v>
      </c>
      <c r="AP425" t="s">
        <v>74</v>
      </c>
      <c r="AQ425" t="s">
        <v>74</v>
      </c>
      <c r="AR425" t="s">
        <v>6679</v>
      </c>
      <c r="AS425" t="s">
        <v>6680</v>
      </c>
      <c r="AT425" t="s">
        <v>74</v>
      </c>
      <c r="AU425">
        <v>2007</v>
      </c>
      <c r="AV425">
        <v>123</v>
      </c>
      <c r="AW425">
        <v>1</v>
      </c>
      <c r="AX425" t="s">
        <v>74</v>
      </c>
      <c r="AY425" t="s">
        <v>74</v>
      </c>
      <c r="AZ425" t="s">
        <v>74</v>
      </c>
      <c r="BA425" t="s">
        <v>74</v>
      </c>
      <c r="BB425">
        <v>48</v>
      </c>
      <c r="BC425">
        <v>67</v>
      </c>
      <c r="BD425" t="s">
        <v>74</v>
      </c>
      <c r="BE425" t="s">
        <v>6681</v>
      </c>
      <c r="BF425" t="str">
        <f>HYPERLINK("http://dx.doi.org/10.1080/14702540701372879","http://dx.doi.org/10.1080/14702540701372879")</f>
        <v>http://dx.doi.org/10.1080/14702540701372879</v>
      </c>
      <c r="BG425" t="s">
        <v>74</v>
      </c>
      <c r="BH425" t="s">
        <v>74</v>
      </c>
      <c r="BI425">
        <v>20</v>
      </c>
      <c r="BJ425" t="s">
        <v>1237</v>
      </c>
      <c r="BK425" t="s">
        <v>4048</v>
      </c>
      <c r="BL425" t="s">
        <v>1237</v>
      </c>
      <c r="BM425" t="s">
        <v>6682</v>
      </c>
      <c r="BN425" t="s">
        <v>74</v>
      </c>
      <c r="BO425" t="s">
        <v>74</v>
      </c>
      <c r="BP425" t="s">
        <v>74</v>
      </c>
      <c r="BQ425" t="s">
        <v>74</v>
      </c>
      <c r="BR425" t="s">
        <v>100</v>
      </c>
      <c r="BS425" t="s">
        <v>6683</v>
      </c>
      <c r="BT425" t="str">
        <f>HYPERLINK("https%3A%2F%2Fwww.webofscience.com%2Fwos%2Fwoscc%2Ffull-record%2FWOS:000248760700004","View Full Record in Web of Science")</f>
        <v>View Full Record in Web of Science</v>
      </c>
    </row>
    <row r="426" spans="1:72" x14ac:dyDescent="0.15">
      <c r="A426" t="s">
        <v>241</v>
      </c>
      <c r="B426" t="s">
        <v>6684</v>
      </c>
      <c r="C426" t="s">
        <v>74</v>
      </c>
      <c r="D426" t="s">
        <v>6685</v>
      </c>
      <c r="E426" t="s">
        <v>74</v>
      </c>
      <c r="F426" t="s">
        <v>6686</v>
      </c>
      <c r="G426" t="s">
        <v>74</v>
      </c>
      <c r="H426" t="s">
        <v>74</v>
      </c>
      <c r="I426" t="s">
        <v>6687</v>
      </c>
      <c r="J426" t="s">
        <v>6688</v>
      </c>
      <c r="K426" t="s">
        <v>3173</v>
      </c>
      <c r="L426" t="s">
        <v>74</v>
      </c>
      <c r="M426" t="s">
        <v>78</v>
      </c>
      <c r="N426" t="s">
        <v>248</v>
      </c>
      <c r="O426" t="s">
        <v>6689</v>
      </c>
      <c r="P426" t="s">
        <v>6690</v>
      </c>
      <c r="Q426" t="s">
        <v>6691</v>
      </c>
      <c r="R426" t="s">
        <v>74</v>
      </c>
      <c r="S426" t="s">
        <v>74</v>
      </c>
      <c r="T426" t="s">
        <v>6692</v>
      </c>
      <c r="U426" t="s">
        <v>6693</v>
      </c>
      <c r="V426" t="s">
        <v>6694</v>
      </c>
      <c r="W426" t="s">
        <v>6695</v>
      </c>
      <c r="X426" t="s">
        <v>6696</v>
      </c>
      <c r="Y426" t="s">
        <v>6697</v>
      </c>
      <c r="Z426" t="s">
        <v>6698</v>
      </c>
      <c r="AA426" t="s">
        <v>6699</v>
      </c>
      <c r="AB426" t="s">
        <v>6700</v>
      </c>
      <c r="AC426" t="s">
        <v>74</v>
      </c>
      <c r="AD426" t="s">
        <v>74</v>
      </c>
      <c r="AE426" t="s">
        <v>74</v>
      </c>
      <c r="AF426" t="s">
        <v>74</v>
      </c>
      <c r="AG426">
        <v>9</v>
      </c>
      <c r="AH426">
        <v>0</v>
      </c>
      <c r="AI426">
        <v>0</v>
      </c>
      <c r="AJ426">
        <v>0</v>
      </c>
      <c r="AK426">
        <v>6</v>
      </c>
      <c r="AL426" t="s">
        <v>2124</v>
      </c>
      <c r="AM426" t="s">
        <v>2125</v>
      </c>
      <c r="AN426" t="s">
        <v>2126</v>
      </c>
      <c r="AO426" t="s">
        <v>2127</v>
      </c>
      <c r="AP426" t="s">
        <v>3183</v>
      </c>
      <c r="AQ426" t="s">
        <v>6701</v>
      </c>
      <c r="AR426" t="s">
        <v>3185</v>
      </c>
      <c r="AS426" t="s">
        <v>74</v>
      </c>
      <c r="AT426" t="s">
        <v>74</v>
      </c>
      <c r="AU426">
        <v>2007</v>
      </c>
      <c r="AV426">
        <v>6795</v>
      </c>
      <c r="AW426" t="s">
        <v>74</v>
      </c>
      <c r="AX426" t="s">
        <v>2559</v>
      </c>
      <c r="AY426" t="s">
        <v>74</v>
      </c>
      <c r="AZ426" t="s">
        <v>74</v>
      </c>
      <c r="BA426" t="s">
        <v>74</v>
      </c>
      <c r="BB426" t="s">
        <v>74</v>
      </c>
      <c r="BC426" t="s">
        <v>74</v>
      </c>
      <c r="BD426" t="s">
        <v>6702</v>
      </c>
      <c r="BE426" t="s">
        <v>6703</v>
      </c>
      <c r="BF426" t="str">
        <f>HYPERLINK("http://dx.doi.org/10.1117/12.775289","http://dx.doi.org/10.1117/12.775289")</f>
        <v>http://dx.doi.org/10.1117/12.775289</v>
      </c>
      <c r="BG426" t="s">
        <v>74</v>
      </c>
      <c r="BH426" t="s">
        <v>74</v>
      </c>
      <c r="BI426">
        <v>6</v>
      </c>
      <c r="BJ426" t="s">
        <v>6704</v>
      </c>
      <c r="BK426" t="s">
        <v>266</v>
      </c>
      <c r="BL426" t="s">
        <v>6705</v>
      </c>
      <c r="BM426" t="s">
        <v>6706</v>
      </c>
      <c r="BN426" t="s">
        <v>74</v>
      </c>
      <c r="BO426" t="s">
        <v>74</v>
      </c>
      <c r="BP426" t="s">
        <v>74</v>
      </c>
      <c r="BQ426" t="s">
        <v>74</v>
      </c>
      <c r="BR426" t="s">
        <v>100</v>
      </c>
      <c r="BS426" t="s">
        <v>6707</v>
      </c>
      <c r="BT426" t="str">
        <f>HYPERLINK("https%3A%2F%2Fwww.webofscience.com%2Fwos%2Fwoscc%2Ffull-record%2FWOS:000253704600234","View Full Record in Web of Science")</f>
        <v>View Full Record in Web of Science</v>
      </c>
    </row>
    <row r="427" spans="1:72" x14ac:dyDescent="0.15">
      <c r="A427" t="s">
        <v>241</v>
      </c>
      <c r="B427" t="s">
        <v>6708</v>
      </c>
      <c r="C427" t="s">
        <v>74</v>
      </c>
      <c r="D427" t="s">
        <v>6709</v>
      </c>
      <c r="E427" t="s">
        <v>74</v>
      </c>
      <c r="F427" t="s">
        <v>6710</v>
      </c>
      <c r="G427" t="s">
        <v>74</v>
      </c>
      <c r="H427" t="s">
        <v>74</v>
      </c>
      <c r="I427" t="s">
        <v>6711</v>
      </c>
      <c r="J427" t="s">
        <v>6712</v>
      </c>
      <c r="K427" t="s">
        <v>6713</v>
      </c>
      <c r="L427" t="s">
        <v>74</v>
      </c>
      <c r="M427" t="s">
        <v>78</v>
      </c>
      <c r="N427" t="s">
        <v>248</v>
      </c>
      <c r="O427" t="s">
        <v>6714</v>
      </c>
      <c r="P427" t="s">
        <v>6715</v>
      </c>
      <c r="Q427" t="s">
        <v>6716</v>
      </c>
      <c r="R427" t="s">
        <v>74</v>
      </c>
      <c r="S427" t="s">
        <v>6717</v>
      </c>
      <c r="T427" t="s">
        <v>74</v>
      </c>
      <c r="U427" t="s">
        <v>74</v>
      </c>
      <c r="V427" t="s">
        <v>6718</v>
      </c>
      <c r="W427" t="s">
        <v>6719</v>
      </c>
      <c r="X427" t="s">
        <v>6720</v>
      </c>
      <c r="Y427" t="s">
        <v>6721</v>
      </c>
      <c r="Z427" t="s">
        <v>6722</v>
      </c>
      <c r="AA427" t="s">
        <v>74</v>
      </c>
      <c r="AB427" t="s">
        <v>74</v>
      </c>
      <c r="AC427" t="s">
        <v>6723</v>
      </c>
      <c r="AD427" t="s">
        <v>6724</v>
      </c>
      <c r="AE427" t="s">
        <v>6725</v>
      </c>
      <c r="AF427" t="s">
        <v>74</v>
      </c>
      <c r="AG427">
        <v>29</v>
      </c>
      <c r="AH427">
        <v>10</v>
      </c>
      <c r="AI427">
        <v>10</v>
      </c>
      <c r="AJ427">
        <v>0</v>
      </c>
      <c r="AK427">
        <v>0</v>
      </c>
      <c r="AL427" t="s">
        <v>6726</v>
      </c>
      <c r="AM427" t="s">
        <v>6727</v>
      </c>
      <c r="AN427" t="s">
        <v>6728</v>
      </c>
      <c r="AO427" t="s">
        <v>6729</v>
      </c>
      <c r="AP427" t="s">
        <v>74</v>
      </c>
      <c r="AQ427" t="s">
        <v>6730</v>
      </c>
      <c r="AR427" t="s">
        <v>6731</v>
      </c>
      <c r="AS427" t="s">
        <v>74</v>
      </c>
      <c r="AT427" t="s">
        <v>74</v>
      </c>
      <c r="AU427">
        <v>2007</v>
      </c>
      <c r="AV427">
        <v>88</v>
      </c>
      <c r="AW427" t="s">
        <v>74</v>
      </c>
      <c r="AX427" t="s">
        <v>74</v>
      </c>
      <c r="AY427" t="s">
        <v>74</v>
      </c>
      <c r="AZ427" t="s">
        <v>74</v>
      </c>
      <c r="BA427" t="s">
        <v>74</v>
      </c>
      <c r="BB427">
        <v>301</v>
      </c>
      <c r="BC427" t="s">
        <v>617</v>
      </c>
      <c r="BD427" t="s">
        <v>74</v>
      </c>
      <c r="BE427" t="s">
        <v>74</v>
      </c>
      <c r="BF427" t="s">
        <v>74</v>
      </c>
      <c r="BG427" t="s">
        <v>74</v>
      </c>
      <c r="BH427" t="s">
        <v>74</v>
      </c>
      <c r="BI427">
        <v>3</v>
      </c>
      <c r="BJ427" t="s">
        <v>642</v>
      </c>
      <c r="BK427" t="s">
        <v>266</v>
      </c>
      <c r="BL427" t="s">
        <v>642</v>
      </c>
      <c r="BM427" t="s">
        <v>6732</v>
      </c>
      <c r="BN427" t="s">
        <v>74</v>
      </c>
      <c r="BO427" t="s">
        <v>74</v>
      </c>
      <c r="BP427" t="s">
        <v>74</v>
      </c>
      <c r="BQ427" t="s">
        <v>74</v>
      </c>
      <c r="BR427" t="s">
        <v>100</v>
      </c>
      <c r="BS427" t="s">
        <v>6733</v>
      </c>
      <c r="BT427" t="str">
        <f>HYPERLINK("https%3A%2F%2Fwww.webofscience.com%2Fwos%2Fwoscc%2Ffull-record%2FWOS:000264979700021","View Full Record in Web of Science")</f>
        <v>View Full Record in Web of Science</v>
      </c>
    </row>
    <row r="428" spans="1:72" x14ac:dyDescent="0.15">
      <c r="A428" t="s">
        <v>241</v>
      </c>
      <c r="B428" t="s">
        <v>6734</v>
      </c>
      <c r="C428" t="s">
        <v>74</v>
      </c>
      <c r="D428" t="s">
        <v>6735</v>
      </c>
      <c r="E428" t="s">
        <v>74</v>
      </c>
      <c r="F428" t="s">
        <v>6736</v>
      </c>
      <c r="G428" t="s">
        <v>74</v>
      </c>
      <c r="H428" t="s">
        <v>74</v>
      </c>
      <c r="I428" t="s">
        <v>6737</v>
      </c>
      <c r="J428" t="s">
        <v>6738</v>
      </c>
      <c r="K428" t="s">
        <v>6739</v>
      </c>
      <c r="L428" t="s">
        <v>74</v>
      </c>
      <c r="M428" t="s">
        <v>78</v>
      </c>
      <c r="N428" t="s">
        <v>248</v>
      </c>
      <c r="O428" t="s">
        <v>6740</v>
      </c>
      <c r="P428" t="s">
        <v>6741</v>
      </c>
      <c r="Q428" t="s">
        <v>6742</v>
      </c>
      <c r="R428" t="s">
        <v>74</v>
      </c>
      <c r="S428" t="s">
        <v>6743</v>
      </c>
      <c r="T428" t="s">
        <v>74</v>
      </c>
      <c r="U428" t="s">
        <v>6744</v>
      </c>
      <c r="V428" t="s">
        <v>6745</v>
      </c>
      <c r="W428" t="s">
        <v>6746</v>
      </c>
      <c r="X428" t="s">
        <v>6747</v>
      </c>
      <c r="Y428" t="s">
        <v>6748</v>
      </c>
      <c r="Z428" t="s">
        <v>74</v>
      </c>
      <c r="AA428" t="s">
        <v>74</v>
      </c>
      <c r="AB428" t="s">
        <v>74</v>
      </c>
      <c r="AC428" t="s">
        <v>74</v>
      </c>
      <c r="AD428" t="s">
        <v>74</v>
      </c>
      <c r="AE428" t="s">
        <v>74</v>
      </c>
      <c r="AF428" t="s">
        <v>74</v>
      </c>
      <c r="AG428">
        <v>23</v>
      </c>
      <c r="AH428">
        <v>1</v>
      </c>
      <c r="AI428">
        <v>1</v>
      </c>
      <c r="AJ428">
        <v>0</v>
      </c>
      <c r="AK428">
        <v>0</v>
      </c>
      <c r="AL428" t="s">
        <v>796</v>
      </c>
      <c r="AM428" t="s">
        <v>797</v>
      </c>
      <c r="AN428" t="s">
        <v>798</v>
      </c>
      <c r="AO428" t="s">
        <v>74</v>
      </c>
      <c r="AP428" t="s">
        <v>74</v>
      </c>
      <c r="AQ428" t="s">
        <v>6749</v>
      </c>
      <c r="AR428" t="s">
        <v>800</v>
      </c>
      <c r="AS428" t="s">
        <v>74</v>
      </c>
      <c r="AT428" t="s">
        <v>74</v>
      </c>
      <c r="AU428">
        <v>2007</v>
      </c>
      <c r="AV428">
        <v>362</v>
      </c>
      <c r="AW428" t="s">
        <v>74</v>
      </c>
      <c r="AX428" t="s">
        <v>74</v>
      </c>
      <c r="AY428" t="s">
        <v>74</v>
      </c>
      <c r="AZ428" t="s">
        <v>74</v>
      </c>
      <c r="BA428" t="s">
        <v>74</v>
      </c>
      <c r="BB428">
        <v>297</v>
      </c>
      <c r="BC428">
        <v>303</v>
      </c>
      <c r="BD428" t="s">
        <v>74</v>
      </c>
      <c r="BE428" t="s">
        <v>74</v>
      </c>
      <c r="BF428" t="s">
        <v>74</v>
      </c>
      <c r="BG428" t="s">
        <v>74</v>
      </c>
      <c r="BH428" t="s">
        <v>74</v>
      </c>
      <c r="BI428">
        <v>7</v>
      </c>
      <c r="BJ428" t="s">
        <v>801</v>
      </c>
      <c r="BK428" t="s">
        <v>266</v>
      </c>
      <c r="BL428" t="s">
        <v>801</v>
      </c>
      <c r="BM428" t="s">
        <v>6750</v>
      </c>
      <c r="BN428" t="s">
        <v>74</v>
      </c>
      <c r="BO428" t="s">
        <v>74</v>
      </c>
      <c r="BP428" t="s">
        <v>74</v>
      </c>
      <c r="BQ428" t="s">
        <v>74</v>
      </c>
      <c r="BR428" t="s">
        <v>100</v>
      </c>
      <c r="BS428" t="s">
        <v>6751</v>
      </c>
      <c r="BT428" t="str">
        <f>HYPERLINK("https%3A%2F%2Fwww.webofscience.com%2Fwos%2Fwoscc%2Ffull-record%2FWOS:000247563200051","View Full Record in Web of Science")</f>
        <v>View Full Record in Web of Science</v>
      </c>
    </row>
    <row r="429" spans="1:72" x14ac:dyDescent="0.15">
      <c r="A429" t="s">
        <v>241</v>
      </c>
      <c r="B429" t="s">
        <v>6752</v>
      </c>
      <c r="C429" t="s">
        <v>74</v>
      </c>
      <c r="D429" t="s">
        <v>74</v>
      </c>
      <c r="E429" t="s">
        <v>2998</v>
      </c>
      <c r="F429" t="s">
        <v>6753</v>
      </c>
      <c r="G429" t="s">
        <v>74</v>
      </c>
      <c r="H429" t="s">
        <v>74</v>
      </c>
      <c r="I429" t="s">
        <v>6754</v>
      </c>
      <c r="J429" t="s">
        <v>6755</v>
      </c>
      <c r="K429" t="s">
        <v>74</v>
      </c>
      <c r="L429" t="s">
        <v>74</v>
      </c>
      <c r="M429" t="s">
        <v>78</v>
      </c>
      <c r="N429" t="s">
        <v>248</v>
      </c>
      <c r="O429" t="s">
        <v>6756</v>
      </c>
      <c r="P429" t="s">
        <v>6757</v>
      </c>
      <c r="Q429" t="s">
        <v>6758</v>
      </c>
      <c r="R429" t="s">
        <v>74</v>
      </c>
      <c r="S429" t="s">
        <v>74</v>
      </c>
      <c r="T429" t="s">
        <v>74</v>
      </c>
      <c r="U429" t="s">
        <v>74</v>
      </c>
      <c r="V429" t="s">
        <v>6759</v>
      </c>
      <c r="W429" t="s">
        <v>6760</v>
      </c>
      <c r="X429" t="s">
        <v>74</v>
      </c>
      <c r="Y429" t="s">
        <v>6761</v>
      </c>
      <c r="Z429" t="s">
        <v>6762</v>
      </c>
      <c r="AA429" t="s">
        <v>74</v>
      </c>
      <c r="AB429" t="s">
        <v>6763</v>
      </c>
      <c r="AC429" t="s">
        <v>74</v>
      </c>
      <c r="AD429" t="s">
        <v>74</v>
      </c>
      <c r="AE429" t="s">
        <v>74</v>
      </c>
      <c r="AF429" t="s">
        <v>74</v>
      </c>
      <c r="AG429">
        <v>3</v>
      </c>
      <c r="AH429">
        <v>0</v>
      </c>
      <c r="AI429">
        <v>0</v>
      </c>
      <c r="AJ429">
        <v>0</v>
      </c>
      <c r="AK429">
        <v>0</v>
      </c>
      <c r="AL429" t="s">
        <v>2998</v>
      </c>
      <c r="AM429" t="s">
        <v>678</v>
      </c>
      <c r="AN429" t="s">
        <v>2999</v>
      </c>
      <c r="AO429" t="s">
        <v>74</v>
      </c>
      <c r="AP429" t="s">
        <v>74</v>
      </c>
      <c r="AQ429" t="s">
        <v>6764</v>
      </c>
      <c r="AR429" t="s">
        <v>74</v>
      </c>
      <c r="AS429" t="s">
        <v>74</v>
      </c>
      <c r="AT429" t="s">
        <v>74</v>
      </c>
      <c r="AU429">
        <v>2007</v>
      </c>
      <c r="AV429" t="s">
        <v>74</v>
      </c>
      <c r="AW429" t="s">
        <v>74</v>
      </c>
      <c r="AX429" t="s">
        <v>74</v>
      </c>
      <c r="AY429" t="s">
        <v>74</v>
      </c>
      <c r="AZ429" t="s">
        <v>74</v>
      </c>
      <c r="BA429" t="s">
        <v>74</v>
      </c>
      <c r="BB429">
        <v>748</v>
      </c>
      <c r="BC429" t="s">
        <v>617</v>
      </c>
      <c r="BD429" t="s">
        <v>74</v>
      </c>
      <c r="BE429" t="s">
        <v>6765</v>
      </c>
      <c r="BF429" t="str">
        <f>HYPERLINK("http://dx.doi.org/10.1109/MSMW.2007.4294801","http://dx.doi.org/10.1109/MSMW.2007.4294801")</f>
        <v>http://dx.doi.org/10.1109/MSMW.2007.4294801</v>
      </c>
      <c r="BG429" t="s">
        <v>74</v>
      </c>
      <c r="BH429" t="s">
        <v>74</v>
      </c>
      <c r="BI429">
        <v>2</v>
      </c>
      <c r="BJ429" t="s">
        <v>6766</v>
      </c>
      <c r="BK429" t="s">
        <v>266</v>
      </c>
      <c r="BL429" t="s">
        <v>6767</v>
      </c>
      <c r="BM429" t="s">
        <v>6768</v>
      </c>
      <c r="BN429" t="s">
        <v>74</v>
      </c>
      <c r="BO429" t="s">
        <v>74</v>
      </c>
      <c r="BP429" t="s">
        <v>74</v>
      </c>
      <c r="BQ429" t="s">
        <v>74</v>
      </c>
      <c r="BR429" t="s">
        <v>100</v>
      </c>
      <c r="BS429" t="s">
        <v>6769</v>
      </c>
      <c r="BT429" t="str">
        <f>HYPERLINK("https%3A%2F%2Fwww.webofscience.com%2Fwos%2Fwoscc%2Ffull-record%2FWOS:000249653400211","View Full Record in Web of Science")</f>
        <v>View Full Record in Web of Science</v>
      </c>
    </row>
    <row r="430" spans="1:72" x14ac:dyDescent="0.15">
      <c r="A430" t="s">
        <v>241</v>
      </c>
      <c r="B430" t="s">
        <v>6770</v>
      </c>
      <c r="C430" t="s">
        <v>74</v>
      </c>
      <c r="D430" t="s">
        <v>74</v>
      </c>
      <c r="E430" t="s">
        <v>2998</v>
      </c>
      <c r="F430" t="s">
        <v>6771</v>
      </c>
      <c r="G430" t="s">
        <v>74</v>
      </c>
      <c r="H430" t="s">
        <v>74</v>
      </c>
      <c r="I430" t="s">
        <v>6772</v>
      </c>
      <c r="J430" t="s">
        <v>6755</v>
      </c>
      <c r="K430" t="s">
        <v>74</v>
      </c>
      <c r="L430" t="s">
        <v>74</v>
      </c>
      <c r="M430" t="s">
        <v>78</v>
      </c>
      <c r="N430" t="s">
        <v>248</v>
      </c>
      <c r="O430" t="s">
        <v>6756</v>
      </c>
      <c r="P430" t="s">
        <v>6757</v>
      </c>
      <c r="Q430" t="s">
        <v>6758</v>
      </c>
      <c r="R430" t="s">
        <v>74</v>
      </c>
      <c r="S430" t="s">
        <v>74</v>
      </c>
      <c r="T430" t="s">
        <v>74</v>
      </c>
      <c r="U430" t="s">
        <v>74</v>
      </c>
      <c r="V430" t="s">
        <v>6773</v>
      </c>
      <c r="W430" t="s">
        <v>6774</v>
      </c>
      <c r="X430" t="s">
        <v>6775</v>
      </c>
      <c r="Y430" t="s">
        <v>6776</v>
      </c>
      <c r="Z430" t="s">
        <v>6777</v>
      </c>
      <c r="AA430" t="s">
        <v>74</v>
      </c>
      <c r="AB430" t="s">
        <v>74</v>
      </c>
      <c r="AC430" t="s">
        <v>74</v>
      </c>
      <c r="AD430" t="s">
        <v>74</v>
      </c>
      <c r="AE430" t="s">
        <v>74</v>
      </c>
      <c r="AF430" t="s">
        <v>74</v>
      </c>
      <c r="AG430">
        <v>3</v>
      </c>
      <c r="AH430">
        <v>2</v>
      </c>
      <c r="AI430">
        <v>2</v>
      </c>
      <c r="AJ430">
        <v>0</v>
      </c>
      <c r="AK430">
        <v>0</v>
      </c>
      <c r="AL430" t="s">
        <v>2998</v>
      </c>
      <c r="AM430" t="s">
        <v>678</v>
      </c>
      <c r="AN430" t="s">
        <v>2999</v>
      </c>
      <c r="AO430" t="s">
        <v>74</v>
      </c>
      <c r="AP430" t="s">
        <v>74</v>
      </c>
      <c r="AQ430" t="s">
        <v>6764</v>
      </c>
      <c r="AR430" t="s">
        <v>74</v>
      </c>
      <c r="AS430" t="s">
        <v>74</v>
      </c>
      <c r="AT430" t="s">
        <v>74</v>
      </c>
      <c r="AU430">
        <v>2007</v>
      </c>
      <c r="AV430" t="s">
        <v>74</v>
      </c>
      <c r="AW430" t="s">
        <v>74</v>
      </c>
      <c r="AX430" t="s">
        <v>74</v>
      </c>
      <c r="AY430" t="s">
        <v>74</v>
      </c>
      <c r="AZ430" t="s">
        <v>74</v>
      </c>
      <c r="BA430" t="s">
        <v>74</v>
      </c>
      <c r="BB430">
        <v>760</v>
      </c>
      <c r="BC430">
        <v>762</v>
      </c>
      <c r="BD430" t="s">
        <v>74</v>
      </c>
      <c r="BE430" t="s">
        <v>6778</v>
      </c>
      <c r="BF430" t="str">
        <f>HYPERLINK("http://dx.doi.org/10.1109/MSMW.2007.4294805","http://dx.doi.org/10.1109/MSMW.2007.4294805")</f>
        <v>http://dx.doi.org/10.1109/MSMW.2007.4294805</v>
      </c>
      <c r="BG430" t="s">
        <v>74</v>
      </c>
      <c r="BH430" t="s">
        <v>74</v>
      </c>
      <c r="BI430">
        <v>3</v>
      </c>
      <c r="BJ430" t="s">
        <v>6766</v>
      </c>
      <c r="BK430" t="s">
        <v>266</v>
      </c>
      <c r="BL430" t="s">
        <v>6767</v>
      </c>
      <c r="BM430" t="s">
        <v>6768</v>
      </c>
      <c r="BN430" t="s">
        <v>74</v>
      </c>
      <c r="BO430" t="s">
        <v>74</v>
      </c>
      <c r="BP430" t="s">
        <v>74</v>
      </c>
      <c r="BQ430" t="s">
        <v>74</v>
      </c>
      <c r="BR430" t="s">
        <v>100</v>
      </c>
      <c r="BS430" t="s">
        <v>6779</v>
      </c>
      <c r="BT430" t="str">
        <f>HYPERLINK("https%3A%2F%2Fwww.webofscience.com%2Fwos%2Fwoscc%2Ffull-record%2FWOS:000249653400215","View Full Record in Web of Science")</f>
        <v>View Full Record in Web of Science</v>
      </c>
    </row>
    <row r="431" spans="1:72" x14ac:dyDescent="0.15">
      <c r="A431" t="s">
        <v>72</v>
      </c>
      <c r="B431" t="s">
        <v>6780</v>
      </c>
      <c r="C431" t="s">
        <v>74</v>
      </c>
      <c r="D431" t="s">
        <v>74</v>
      </c>
      <c r="E431" t="s">
        <v>74</v>
      </c>
      <c r="F431" t="s">
        <v>6781</v>
      </c>
      <c r="G431" t="s">
        <v>74</v>
      </c>
      <c r="H431" t="s">
        <v>74</v>
      </c>
      <c r="I431" t="s">
        <v>6782</v>
      </c>
      <c r="J431" t="s">
        <v>6783</v>
      </c>
      <c r="K431" t="s">
        <v>74</v>
      </c>
      <c r="L431" t="s">
        <v>74</v>
      </c>
      <c r="M431" t="s">
        <v>78</v>
      </c>
      <c r="N431" t="s">
        <v>79</v>
      </c>
      <c r="O431" t="s">
        <v>74</v>
      </c>
      <c r="P431" t="s">
        <v>74</v>
      </c>
      <c r="Q431" t="s">
        <v>74</v>
      </c>
      <c r="R431" t="s">
        <v>74</v>
      </c>
      <c r="S431" t="s">
        <v>74</v>
      </c>
      <c r="T431" t="s">
        <v>6784</v>
      </c>
      <c r="U431" t="s">
        <v>6785</v>
      </c>
      <c r="V431" t="s">
        <v>6786</v>
      </c>
      <c r="W431" t="s">
        <v>6787</v>
      </c>
      <c r="X431" t="s">
        <v>6788</v>
      </c>
      <c r="Y431" t="s">
        <v>6789</v>
      </c>
      <c r="Z431" t="s">
        <v>6790</v>
      </c>
      <c r="AA431" t="s">
        <v>6791</v>
      </c>
      <c r="AB431" t="s">
        <v>74</v>
      </c>
      <c r="AC431" t="s">
        <v>2691</v>
      </c>
      <c r="AD431" t="s">
        <v>1254</v>
      </c>
      <c r="AE431" t="s">
        <v>74</v>
      </c>
      <c r="AF431" t="s">
        <v>74</v>
      </c>
      <c r="AG431">
        <v>31</v>
      </c>
      <c r="AH431">
        <v>18</v>
      </c>
      <c r="AI431">
        <v>26</v>
      </c>
      <c r="AJ431">
        <v>0</v>
      </c>
      <c r="AK431">
        <v>17</v>
      </c>
      <c r="AL431" t="s">
        <v>817</v>
      </c>
      <c r="AM431" t="s">
        <v>818</v>
      </c>
      <c r="AN431" t="s">
        <v>819</v>
      </c>
      <c r="AO431" t="s">
        <v>6792</v>
      </c>
      <c r="AP431" t="s">
        <v>74</v>
      </c>
      <c r="AQ431" t="s">
        <v>74</v>
      </c>
      <c r="AR431" t="s">
        <v>6793</v>
      </c>
      <c r="AS431" t="s">
        <v>6794</v>
      </c>
      <c r="AT431" t="s">
        <v>661</v>
      </c>
      <c r="AU431">
        <v>2007</v>
      </c>
      <c r="AV431">
        <v>39</v>
      </c>
      <c r="AW431">
        <v>1</v>
      </c>
      <c r="AX431" t="s">
        <v>74</v>
      </c>
      <c r="AY431" t="s">
        <v>74</v>
      </c>
      <c r="AZ431" t="s">
        <v>74</v>
      </c>
      <c r="BA431" t="s">
        <v>74</v>
      </c>
      <c r="BB431">
        <v>116</v>
      </c>
      <c r="BC431">
        <v>126</v>
      </c>
      <c r="BD431" t="s">
        <v>74</v>
      </c>
      <c r="BE431" t="s">
        <v>6795</v>
      </c>
      <c r="BF431" t="str">
        <f>HYPERLINK("http://dx.doi.org/10.1016/j.soilbio.2006.06.019","http://dx.doi.org/10.1016/j.soilbio.2006.06.019")</f>
        <v>http://dx.doi.org/10.1016/j.soilbio.2006.06.019</v>
      </c>
      <c r="BG431" t="s">
        <v>74</v>
      </c>
      <c r="BH431" t="s">
        <v>74</v>
      </c>
      <c r="BI431">
        <v>11</v>
      </c>
      <c r="BJ431" t="s">
        <v>6796</v>
      </c>
      <c r="BK431" t="s">
        <v>97</v>
      </c>
      <c r="BL431" t="s">
        <v>6797</v>
      </c>
      <c r="BM431" t="s">
        <v>6798</v>
      </c>
      <c r="BN431" t="s">
        <v>74</v>
      </c>
      <c r="BO431" t="s">
        <v>74</v>
      </c>
      <c r="BP431" t="s">
        <v>74</v>
      </c>
      <c r="BQ431" t="s">
        <v>74</v>
      </c>
      <c r="BR431" t="s">
        <v>100</v>
      </c>
      <c r="BS431" t="s">
        <v>6799</v>
      </c>
      <c r="BT431" t="str">
        <f>HYPERLINK("https%3A%2F%2Fwww.webofscience.com%2Fwos%2Fwoscc%2Ffull-record%2FWOS:000242720300011","View Full Record in Web of Science")</f>
        <v>View Full Record in Web of Science</v>
      </c>
    </row>
    <row r="432" spans="1:72" x14ac:dyDescent="0.15">
      <c r="A432" t="s">
        <v>72</v>
      </c>
      <c r="B432" t="s">
        <v>6800</v>
      </c>
      <c r="C432" t="s">
        <v>74</v>
      </c>
      <c r="D432" t="s">
        <v>74</v>
      </c>
      <c r="E432" t="s">
        <v>74</v>
      </c>
      <c r="F432" t="s">
        <v>6801</v>
      </c>
      <c r="G432" t="s">
        <v>74</v>
      </c>
      <c r="H432" t="s">
        <v>74</v>
      </c>
      <c r="I432" t="s">
        <v>6802</v>
      </c>
      <c r="J432" t="s">
        <v>6783</v>
      </c>
      <c r="K432" t="s">
        <v>74</v>
      </c>
      <c r="L432" t="s">
        <v>74</v>
      </c>
      <c r="M432" t="s">
        <v>78</v>
      </c>
      <c r="N432" t="s">
        <v>79</v>
      </c>
      <c r="O432" t="s">
        <v>74</v>
      </c>
      <c r="P432" t="s">
        <v>74</v>
      </c>
      <c r="Q432" t="s">
        <v>74</v>
      </c>
      <c r="R432" t="s">
        <v>74</v>
      </c>
      <c r="S432" t="s">
        <v>74</v>
      </c>
      <c r="T432" t="s">
        <v>6803</v>
      </c>
      <c r="U432" t="s">
        <v>6804</v>
      </c>
      <c r="V432" t="s">
        <v>6805</v>
      </c>
      <c r="W432" t="s">
        <v>6806</v>
      </c>
      <c r="X432" t="s">
        <v>6807</v>
      </c>
      <c r="Y432" t="s">
        <v>6808</v>
      </c>
      <c r="Z432" t="s">
        <v>6809</v>
      </c>
      <c r="AA432" t="s">
        <v>6810</v>
      </c>
      <c r="AB432" t="s">
        <v>6811</v>
      </c>
      <c r="AC432" t="s">
        <v>74</v>
      </c>
      <c r="AD432" t="s">
        <v>74</v>
      </c>
      <c r="AE432" t="s">
        <v>74</v>
      </c>
      <c r="AF432" t="s">
        <v>74</v>
      </c>
      <c r="AG432">
        <v>33</v>
      </c>
      <c r="AH432">
        <v>50</v>
      </c>
      <c r="AI432">
        <v>54</v>
      </c>
      <c r="AJ432">
        <v>3</v>
      </c>
      <c r="AK432">
        <v>55</v>
      </c>
      <c r="AL432" t="s">
        <v>817</v>
      </c>
      <c r="AM432" t="s">
        <v>818</v>
      </c>
      <c r="AN432" t="s">
        <v>819</v>
      </c>
      <c r="AO432" t="s">
        <v>6792</v>
      </c>
      <c r="AP432" t="s">
        <v>74</v>
      </c>
      <c r="AQ432" t="s">
        <v>74</v>
      </c>
      <c r="AR432" t="s">
        <v>6793</v>
      </c>
      <c r="AS432" t="s">
        <v>6794</v>
      </c>
      <c r="AT432" t="s">
        <v>661</v>
      </c>
      <c r="AU432">
        <v>2007</v>
      </c>
      <c r="AV432">
        <v>39</v>
      </c>
      <c r="AW432">
        <v>1</v>
      </c>
      <c r="AX432" t="s">
        <v>74</v>
      </c>
      <c r="AY432" t="s">
        <v>74</v>
      </c>
      <c r="AZ432" t="s">
        <v>74</v>
      </c>
      <c r="BA432" t="s">
        <v>74</v>
      </c>
      <c r="BB432">
        <v>352</v>
      </c>
      <c r="BC432">
        <v>360</v>
      </c>
      <c r="BD432" t="s">
        <v>74</v>
      </c>
      <c r="BE432" t="s">
        <v>6812</v>
      </c>
      <c r="BF432" t="str">
        <f>HYPERLINK("http://dx.doi.org/10.1016/j.soilbio.2006.08.005","http://dx.doi.org/10.1016/j.soilbio.2006.08.005")</f>
        <v>http://dx.doi.org/10.1016/j.soilbio.2006.08.005</v>
      </c>
      <c r="BG432" t="s">
        <v>74</v>
      </c>
      <c r="BH432" t="s">
        <v>74</v>
      </c>
      <c r="BI432">
        <v>9</v>
      </c>
      <c r="BJ432" t="s">
        <v>6796</v>
      </c>
      <c r="BK432" t="s">
        <v>97</v>
      </c>
      <c r="BL432" t="s">
        <v>6797</v>
      </c>
      <c r="BM432" t="s">
        <v>6798</v>
      </c>
      <c r="BN432" t="s">
        <v>74</v>
      </c>
      <c r="BO432" t="s">
        <v>74</v>
      </c>
      <c r="BP432" t="s">
        <v>74</v>
      </c>
      <c r="BQ432" t="s">
        <v>74</v>
      </c>
      <c r="BR432" t="s">
        <v>100</v>
      </c>
      <c r="BS432" t="s">
        <v>6813</v>
      </c>
      <c r="BT432" t="str">
        <f>HYPERLINK("https%3A%2F%2Fwww.webofscience.com%2Fwos%2Fwoscc%2Ffull-record%2FWOS:000242720300035","View Full Record in Web of Science")</f>
        <v>View Full Record in Web of Science</v>
      </c>
    </row>
    <row r="433" spans="1:72" x14ac:dyDescent="0.15">
      <c r="A433" t="s">
        <v>72</v>
      </c>
      <c r="B433" t="s">
        <v>6814</v>
      </c>
      <c r="C433" t="s">
        <v>74</v>
      </c>
      <c r="D433" t="s">
        <v>74</v>
      </c>
      <c r="E433" t="s">
        <v>74</v>
      </c>
      <c r="F433" t="s">
        <v>6815</v>
      </c>
      <c r="G433" t="s">
        <v>74</v>
      </c>
      <c r="H433" t="s">
        <v>74</v>
      </c>
      <c r="I433" t="s">
        <v>6816</v>
      </c>
      <c r="J433" t="s">
        <v>6817</v>
      </c>
      <c r="K433" t="s">
        <v>74</v>
      </c>
      <c r="L433" t="s">
        <v>74</v>
      </c>
      <c r="M433" t="s">
        <v>78</v>
      </c>
      <c r="N433" t="s">
        <v>79</v>
      </c>
      <c r="O433" t="s">
        <v>74</v>
      </c>
      <c r="P433" t="s">
        <v>74</v>
      </c>
      <c r="Q433" t="s">
        <v>74</v>
      </c>
      <c r="R433" t="s">
        <v>74</v>
      </c>
      <c r="S433" t="s">
        <v>74</v>
      </c>
      <c r="T433" t="s">
        <v>74</v>
      </c>
      <c r="U433" t="s">
        <v>74</v>
      </c>
      <c r="V433" t="s">
        <v>6818</v>
      </c>
      <c r="W433" t="s">
        <v>6819</v>
      </c>
      <c r="X433" t="s">
        <v>6820</v>
      </c>
      <c r="Y433" t="s">
        <v>6821</v>
      </c>
      <c r="Z433" t="s">
        <v>6822</v>
      </c>
      <c r="AA433" t="s">
        <v>6823</v>
      </c>
      <c r="AB433" t="s">
        <v>74</v>
      </c>
      <c r="AC433" t="s">
        <v>6824</v>
      </c>
      <c r="AD433" t="s">
        <v>6824</v>
      </c>
      <c r="AE433" t="s">
        <v>6825</v>
      </c>
      <c r="AF433" t="s">
        <v>74</v>
      </c>
      <c r="AG433">
        <v>14</v>
      </c>
      <c r="AH433">
        <v>1</v>
      </c>
      <c r="AI433">
        <v>1</v>
      </c>
      <c r="AJ433">
        <v>0</v>
      </c>
      <c r="AK433">
        <v>0</v>
      </c>
      <c r="AL433" t="s">
        <v>6826</v>
      </c>
      <c r="AM433" t="s">
        <v>2148</v>
      </c>
      <c r="AN433" t="s">
        <v>6827</v>
      </c>
      <c r="AO433" t="s">
        <v>6828</v>
      </c>
      <c r="AP433" t="s">
        <v>74</v>
      </c>
      <c r="AQ433" t="s">
        <v>74</v>
      </c>
      <c r="AR433" t="s">
        <v>6817</v>
      </c>
      <c r="AS433" t="s">
        <v>6817</v>
      </c>
      <c r="AT433" t="s">
        <v>74</v>
      </c>
      <c r="AU433">
        <v>2007</v>
      </c>
      <c r="AV433">
        <v>3</v>
      </c>
      <c r="AW433" t="s">
        <v>74</v>
      </c>
      <c r="AX433" t="s">
        <v>74</v>
      </c>
      <c r="AY433" t="s">
        <v>74</v>
      </c>
      <c r="AZ433" t="s">
        <v>74</v>
      </c>
      <c r="BA433" t="s">
        <v>74</v>
      </c>
      <c r="BB433">
        <v>117</v>
      </c>
      <c r="BC433">
        <v>120</v>
      </c>
      <c r="BD433" t="s">
        <v>74</v>
      </c>
      <c r="BE433" t="s">
        <v>6829</v>
      </c>
      <c r="BF433" t="str">
        <f>HYPERLINK("http://dx.doi.org/10.2151/sola.2007-030","http://dx.doi.org/10.2151/sola.2007-030")</f>
        <v>http://dx.doi.org/10.2151/sola.2007-030</v>
      </c>
      <c r="BG433" t="s">
        <v>74</v>
      </c>
      <c r="BH433" t="s">
        <v>74</v>
      </c>
      <c r="BI433">
        <v>4</v>
      </c>
      <c r="BJ433" t="s">
        <v>3208</v>
      </c>
      <c r="BK433" t="s">
        <v>97</v>
      </c>
      <c r="BL433" t="s">
        <v>3208</v>
      </c>
      <c r="BM433" t="s">
        <v>6830</v>
      </c>
      <c r="BN433" t="s">
        <v>74</v>
      </c>
      <c r="BO433" t="s">
        <v>124</v>
      </c>
      <c r="BP433" t="s">
        <v>74</v>
      </c>
      <c r="BQ433" t="s">
        <v>74</v>
      </c>
      <c r="BR433" t="s">
        <v>100</v>
      </c>
      <c r="BS433" t="s">
        <v>6831</v>
      </c>
      <c r="BT433" t="str">
        <f>HYPERLINK("https%3A%2F%2Fwww.webofscience.com%2Fwos%2Fwoscc%2Ffull-record%2FWOS:000207459800030","View Full Record in Web of Science")</f>
        <v>View Full Record in Web of Science</v>
      </c>
    </row>
    <row r="434" spans="1:72" x14ac:dyDescent="0.15">
      <c r="A434" t="s">
        <v>72</v>
      </c>
      <c r="B434" t="s">
        <v>6832</v>
      </c>
      <c r="C434" t="s">
        <v>74</v>
      </c>
      <c r="D434" t="s">
        <v>74</v>
      </c>
      <c r="E434" t="s">
        <v>74</v>
      </c>
      <c r="F434" t="s">
        <v>6833</v>
      </c>
      <c r="G434" t="s">
        <v>74</v>
      </c>
      <c r="H434" t="s">
        <v>74</v>
      </c>
      <c r="I434" t="s">
        <v>6834</v>
      </c>
      <c r="J434" t="s">
        <v>6817</v>
      </c>
      <c r="K434" t="s">
        <v>74</v>
      </c>
      <c r="L434" t="s">
        <v>74</v>
      </c>
      <c r="M434" t="s">
        <v>78</v>
      </c>
      <c r="N434" t="s">
        <v>79</v>
      </c>
      <c r="O434" t="s">
        <v>74</v>
      </c>
      <c r="P434" t="s">
        <v>74</v>
      </c>
      <c r="Q434" t="s">
        <v>74</v>
      </c>
      <c r="R434" t="s">
        <v>74</v>
      </c>
      <c r="S434" t="s">
        <v>74</v>
      </c>
      <c r="T434" t="s">
        <v>74</v>
      </c>
      <c r="U434" t="s">
        <v>6835</v>
      </c>
      <c r="V434" t="s">
        <v>6836</v>
      </c>
      <c r="W434" t="s">
        <v>6837</v>
      </c>
      <c r="X434" t="s">
        <v>6838</v>
      </c>
      <c r="Y434" t="s">
        <v>6839</v>
      </c>
      <c r="Z434" t="s">
        <v>6840</v>
      </c>
      <c r="AA434" t="s">
        <v>6841</v>
      </c>
      <c r="AB434" t="s">
        <v>6842</v>
      </c>
      <c r="AC434" t="s">
        <v>6843</v>
      </c>
      <c r="AD434" t="s">
        <v>6844</v>
      </c>
      <c r="AE434" t="s">
        <v>6845</v>
      </c>
      <c r="AF434" t="s">
        <v>74</v>
      </c>
      <c r="AG434">
        <v>24</v>
      </c>
      <c r="AH434">
        <v>0</v>
      </c>
      <c r="AI434">
        <v>0</v>
      </c>
      <c r="AJ434">
        <v>0</v>
      </c>
      <c r="AK434">
        <v>2</v>
      </c>
      <c r="AL434" t="s">
        <v>6846</v>
      </c>
      <c r="AM434" t="s">
        <v>2148</v>
      </c>
      <c r="AN434" t="s">
        <v>6847</v>
      </c>
      <c r="AO434" t="s">
        <v>6828</v>
      </c>
      <c r="AP434" t="s">
        <v>74</v>
      </c>
      <c r="AQ434" t="s">
        <v>74</v>
      </c>
      <c r="AR434" t="s">
        <v>6817</v>
      </c>
      <c r="AS434" t="s">
        <v>6817</v>
      </c>
      <c r="AT434" t="s">
        <v>74</v>
      </c>
      <c r="AU434">
        <v>2007</v>
      </c>
      <c r="AV434">
        <v>3</v>
      </c>
      <c r="AW434" t="s">
        <v>74</v>
      </c>
      <c r="AX434" t="s">
        <v>74</v>
      </c>
      <c r="AY434" t="s">
        <v>74</v>
      </c>
      <c r="AZ434" t="s">
        <v>74</v>
      </c>
      <c r="BA434" t="s">
        <v>74</v>
      </c>
      <c r="BB434">
        <v>137</v>
      </c>
      <c r="BC434">
        <v>140</v>
      </c>
      <c r="BD434" t="s">
        <v>74</v>
      </c>
      <c r="BE434" t="s">
        <v>6848</v>
      </c>
      <c r="BF434" t="str">
        <f>HYPERLINK("http://dx.doi.org/10.2151/sola.2007-035","http://dx.doi.org/10.2151/sola.2007-035")</f>
        <v>http://dx.doi.org/10.2151/sola.2007-035</v>
      </c>
      <c r="BG434" t="s">
        <v>74</v>
      </c>
      <c r="BH434" t="s">
        <v>74</v>
      </c>
      <c r="BI434">
        <v>4</v>
      </c>
      <c r="BJ434" t="s">
        <v>3208</v>
      </c>
      <c r="BK434" t="s">
        <v>97</v>
      </c>
      <c r="BL434" t="s">
        <v>3208</v>
      </c>
      <c r="BM434" t="s">
        <v>6830</v>
      </c>
      <c r="BN434" t="s">
        <v>74</v>
      </c>
      <c r="BO434" t="s">
        <v>124</v>
      </c>
      <c r="BP434" t="s">
        <v>74</v>
      </c>
      <c r="BQ434" t="s">
        <v>74</v>
      </c>
      <c r="BR434" t="s">
        <v>100</v>
      </c>
      <c r="BS434" t="s">
        <v>6849</v>
      </c>
      <c r="BT434" t="str">
        <f>HYPERLINK("https%3A%2F%2Fwww.webofscience.com%2Fwos%2Fwoscc%2Ffull-record%2FWOS:000207459800035","View Full Record in Web of Science")</f>
        <v>View Full Record in Web of Science</v>
      </c>
    </row>
    <row r="435" spans="1:72" x14ac:dyDescent="0.15">
      <c r="A435" t="s">
        <v>241</v>
      </c>
      <c r="B435" t="s">
        <v>6850</v>
      </c>
      <c r="C435" t="s">
        <v>74</v>
      </c>
      <c r="D435" t="s">
        <v>6851</v>
      </c>
      <c r="E435" t="s">
        <v>74</v>
      </c>
      <c r="F435" t="s">
        <v>6852</v>
      </c>
      <c r="G435" t="s">
        <v>74</v>
      </c>
      <c r="H435" t="s">
        <v>74</v>
      </c>
      <c r="I435" t="s">
        <v>6853</v>
      </c>
      <c r="J435" t="s">
        <v>6854</v>
      </c>
      <c r="K435" t="s">
        <v>6855</v>
      </c>
      <c r="L435" t="s">
        <v>74</v>
      </c>
      <c r="M435" t="s">
        <v>78</v>
      </c>
      <c r="N435" t="s">
        <v>248</v>
      </c>
      <c r="O435" t="s">
        <v>6856</v>
      </c>
      <c r="P435" t="s">
        <v>6857</v>
      </c>
      <c r="Q435" t="s">
        <v>6858</v>
      </c>
      <c r="R435" t="s">
        <v>74</v>
      </c>
      <c r="S435" t="s">
        <v>74</v>
      </c>
      <c r="T435" t="s">
        <v>74</v>
      </c>
      <c r="U435" t="s">
        <v>74</v>
      </c>
      <c r="V435" t="s">
        <v>74</v>
      </c>
      <c r="W435" t="s">
        <v>513</v>
      </c>
      <c r="X435" t="s">
        <v>514</v>
      </c>
      <c r="Y435" t="s">
        <v>6859</v>
      </c>
      <c r="Z435" t="s">
        <v>74</v>
      </c>
      <c r="AA435" t="s">
        <v>74</v>
      </c>
      <c r="AB435" t="s">
        <v>74</v>
      </c>
      <c r="AC435" t="s">
        <v>74</v>
      </c>
      <c r="AD435" t="s">
        <v>74</v>
      </c>
      <c r="AE435" t="s">
        <v>74</v>
      </c>
      <c r="AF435" t="s">
        <v>74</v>
      </c>
      <c r="AG435">
        <v>6</v>
      </c>
      <c r="AH435">
        <v>0</v>
      </c>
      <c r="AI435">
        <v>0</v>
      </c>
      <c r="AJ435">
        <v>0</v>
      </c>
      <c r="AK435">
        <v>1</v>
      </c>
      <c r="AL435" t="s">
        <v>613</v>
      </c>
      <c r="AM435" t="s">
        <v>614</v>
      </c>
      <c r="AN435" t="s">
        <v>615</v>
      </c>
      <c r="AO435" t="s">
        <v>74</v>
      </c>
      <c r="AP435" t="s">
        <v>74</v>
      </c>
      <c r="AQ435" t="s">
        <v>6860</v>
      </c>
      <c r="AR435" t="s">
        <v>6861</v>
      </c>
      <c r="AS435" t="s">
        <v>74</v>
      </c>
      <c r="AT435" t="s">
        <v>74</v>
      </c>
      <c r="AU435">
        <v>2007</v>
      </c>
      <c r="AV435">
        <v>344</v>
      </c>
      <c r="AW435" t="s">
        <v>74</v>
      </c>
      <c r="AX435" t="s">
        <v>74</v>
      </c>
      <c r="AY435" t="s">
        <v>74</v>
      </c>
      <c r="AZ435" t="s">
        <v>74</v>
      </c>
      <c r="BA435" t="s">
        <v>74</v>
      </c>
      <c r="BB435">
        <v>61</v>
      </c>
      <c r="BC435">
        <v>64</v>
      </c>
      <c r="BD435" t="s">
        <v>74</v>
      </c>
      <c r="BE435" t="s">
        <v>74</v>
      </c>
      <c r="BF435" t="s">
        <v>74</v>
      </c>
      <c r="BG435" t="s">
        <v>74</v>
      </c>
      <c r="BH435" t="s">
        <v>74</v>
      </c>
      <c r="BI435">
        <v>4</v>
      </c>
      <c r="BJ435" t="s">
        <v>801</v>
      </c>
      <c r="BK435" t="s">
        <v>266</v>
      </c>
      <c r="BL435" t="s">
        <v>801</v>
      </c>
      <c r="BM435" t="s">
        <v>6862</v>
      </c>
      <c r="BN435" t="s">
        <v>74</v>
      </c>
      <c r="BO435" t="s">
        <v>74</v>
      </c>
      <c r="BP435" t="s">
        <v>74</v>
      </c>
      <c r="BQ435" t="s">
        <v>74</v>
      </c>
      <c r="BR435" t="s">
        <v>100</v>
      </c>
      <c r="BS435" t="s">
        <v>6863</v>
      </c>
      <c r="BT435" t="str">
        <f>HYPERLINK("https%3A%2F%2Fwww.webofscience.com%2Fwos%2Fwoscc%2Ffull-record%2FWOS:000245916100007","View Full Record in Web of Science")</f>
        <v>View Full Record in Web of Science</v>
      </c>
    </row>
    <row r="436" spans="1:72" x14ac:dyDescent="0.15">
      <c r="A436" t="s">
        <v>241</v>
      </c>
      <c r="B436" t="s">
        <v>6864</v>
      </c>
      <c r="C436" t="s">
        <v>74</v>
      </c>
      <c r="D436" t="s">
        <v>6851</v>
      </c>
      <c r="E436" t="s">
        <v>74</v>
      </c>
      <c r="F436" t="s">
        <v>6865</v>
      </c>
      <c r="G436" t="s">
        <v>74</v>
      </c>
      <c r="H436" t="s">
        <v>74</v>
      </c>
      <c r="I436" t="s">
        <v>6866</v>
      </c>
      <c r="J436" t="s">
        <v>6867</v>
      </c>
      <c r="K436" t="s">
        <v>6868</v>
      </c>
      <c r="L436" t="s">
        <v>74</v>
      </c>
      <c r="M436" t="s">
        <v>78</v>
      </c>
      <c r="N436" t="s">
        <v>248</v>
      </c>
      <c r="O436" t="s">
        <v>6856</v>
      </c>
      <c r="P436" t="s">
        <v>6857</v>
      </c>
      <c r="Q436" t="s">
        <v>6858</v>
      </c>
      <c r="R436" t="s">
        <v>74</v>
      </c>
      <c r="S436" t="s">
        <v>74</v>
      </c>
      <c r="T436" t="s">
        <v>74</v>
      </c>
      <c r="U436" t="s">
        <v>6869</v>
      </c>
      <c r="V436" t="s">
        <v>6870</v>
      </c>
      <c r="W436" t="s">
        <v>6871</v>
      </c>
      <c r="X436" t="s">
        <v>6872</v>
      </c>
      <c r="Y436" t="s">
        <v>6873</v>
      </c>
      <c r="Z436" t="s">
        <v>74</v>
      </c>
      <c r="AA436" t="s">
        <v>6874</v>
      </c>
      <c r="AB436" t="s">
        <v>6875</v>
      </c>
      <c r="AC436" t="s">
        <v>6876</v>
      </c>
      <c r="AD436" t="s">
        <v>6877</v>
      </c>
      <c r="AE436" t="s">
        <v>6878</v>
      </c>
      <c r="AF436" t="s">
        <v>74</v>
      </c>
      <c r="AG436">
        <v>28</v>
      </c>
      <c r="AH436">
        <v>4</v>
      </c>
      <c r="AI436">
        <v>4</v>
      </c>
      <c r="AJ436">
        <v>0</v>
      </c>
      <c r="AK436">
        <v>1</v>
      </c>
      <c r="AL436" t="s">
        <v>613</v>
      </c>
      <c r="AM436" t="s">
        <v>614</v>
      </c>
      <c r="AN436" t="s">
        <v>615</v>
      </c>
      <c r="AO436" t="s">
        <v>6879</v>
      </c>
      <c r="AP436" t="s">
        <v>6880</v>
      </c>
      <c r="AQ436" t="s">
        <v>6860</v>
      </c>
      <c r="AR436" t="s">
        <v>6861</v>
      </c>
      <c r="AS436" t="s">
        <v>74</v>
      </c>
      <c r="AT436" t="s">
        <v>74</v>
      </c>
      <c r="AU436">
        <v>2007</v>
      </c>
      <c r="AV436">
        <v>344</v>
      </c>
      <c r="AW436" t="s">
        <v>74</v>
      </c>
      <c r="AX436" t="s">
        <v>74</v>
      </c>
      <c r="AY436" t="s">
        <v>74</v>
      </c>
      <c r="AZ436" t="s">
        <v>74</v>
      </c>
      <c r="BA436" t="s">
        <v>74</v>
      </c>
      <c r="BB436">
        <v>95</v>
      </c>
      <c r="BC436" t="s">
        <v>617</v>
      </c>
      <c r="BD436" t="s">
        <v>74</v>
      </c>
      <c r="BE436" t="s">
        <v>74</v>
      </c>
      <c r="BF436" t="s">
        <v>74</v>
      </c>
      <c r="BG436" t="s">
        <v>74</v>
      </c>
      <c r="BH436" t="s">
        <v>74</v>
      </c>
      <c r="BI436">
        <v>3</v>
      </c>
      <c r="BJ436" t="s">
        <v>801</v>
      </c>
      <c r="BK436" t="s">
        <v>266</v>
      </c>
      <c r="BL436" t="s">
        <v>801</v>
      </c>
      <c r="BM436" t="s">
        <v>6862</v>
      </c>
      <c r="BN436" t="s">
        <v>74</v>
      </c>
      <c r="BO436" t="s">
        <v>74</v>
      </c>
      <c r="BP436" t="s">
        <v>74</v>
      </c>
      <c r="BQ436" t="s">
        <v>74</v>
      </c>
      <c r="BR436" t="s">
        <v>100</v>
      </c>
      <c r="BS436" t="s">
        <v>6881</v>
      </c>
      <c r="BT436" t="str">
        <f>HYPERLINK("https%3A%2F%2Fwww.webofscience.com%2Fwos%2Fwoscc%2Ffull-record%2FWOS:000245916100010","View Full Record in Web of Science")</f>
        <v>View Full Record in Web of Science</v>
      </c>
    </row>
    <row r="437" spans="1:72" x14ac:dyDescent="0.15">
      <c r="A437" t="s">
        <v>241</v>
      </c>
      <c r="B437" t="s">
        <v>6882</v>
      </c>
      <c r="C437" t="s">
        <v>74</v>
      </c>
      <c r="D437" t="s">
        <v>6851</v>
      </c>
      <c r="E437" t="s">
        <v>74</v>
      </c>
      <c r="F437" t="s">
        <v>6883</v>
      </c>
      <c r="G437" t="s">
        <v>74</v>
      </c>
      <c r="H437" t="s">
        <v>74</v>
      </c>
      <c r="I437" t="s">
        <v>6884</v>
      </c>
      <c r="J437" t="s">
        <v>6867</v>
      </c>
      <c r="K437" t="s">
        <v>6868</v>
      </c>
      <c r="L437" t="s">
        <v>74</v>
      </c>
      <c r="M437" t="s">
        <v>78</v>
      </c>
      <c r="N437" t="s">
        <v>248</v>
      </c>
      <c r="O437" t="s">
        <v>6856</v>
      </c>
      <c r="P437" t="s">
        <v>6857</v>
      </c>
      <c r="Q437" t="s">
        <v>6858</v>
      </c>
      <c r="R437" t="s">
        <v>74</v>
      </c>
      <c r="S437" t="s">
        <v>74</v>
      </c>
      <c r="T437" t="s">
        <v>6885</v>
      </c>
      <c r="U437" t="s">
        <v>6886</v>
      </c>
      <c r="V437" t="s">
        <v>6887</v>
      </c>
      <c r="W437" t="s">
        <v>6888</v>
      </c>
      <c r="X437" t="s">
        <v>6889</v>
      </c>
      <c r="Y437" t="s">
        <v>6890</v>
      </c>
      <c r="Z437" t="s">
        <v>6891</v>
      </c>
      <c r="AA437" t="s">
        <v>6892</v>
      </c>
      <c r="AB437" t="s">
        <v>74</v>
      </c>
      <c r="AC437" t="s">
        <v>6893</v>
      </c>
      <c r="AD437" t="s">
        <v>6894</v>
      </c>
      <c r="AE437" t="s">
        <v>6895</v>
      </c>
      <c r="AF437" t="s">
        <v>74</v>
      </c>
      <c r="AG437">
        <v>38</v>
      </c>
      <c r="AH437">
        <v>14</v>
      </c>
      <c r="AI437">
        <v>14</v>
      </c>
      <c r="AJ437">
        <v>0</v>
      </c>
      <c r="AK437">
        <v>2</v>
      </c>
      <c r="AL437" t="s">
        <v>613</v>
      </c>
      <c r="AM437" t="s">
        <v>614</v>
      </c>
      <c r="AN437" t="s">
        <v>615</v>
      </c>
      <c r="AO437" t="s">
        <v>6879</v>
      </c>
      <c r="AP437" t="s">
        <v>6880</v>
      </c>
      <c r="AQ437" t="s">
        <v>6860</v>
      </c>
      <c r="AR437" t="s">
        <v>6861</v>
      </c>
      <c r="AS437" t="s">
        <v>74</v>
      </c>
      <c r="AT437" t="s">
        <v>74</v>
      </c>
      <c r="AU437">
        <v>2007</v>
      </c>
      <c r="AV437">
        <v>344</v>
      </c>
      <c r="AW437" t="s">
        <v>74</v>
      </c>
      <c r="AX437" t="s">
        <v>74</v>
      </c>
      <c r="AY437" t="s">
        <v>74</v>
      </c>
      <c r="AZ437" t="s">
        <v>74</v>
      </c>
      <c r="BA437" t="s">
        <v>74</v>
      </c>
      <c r="BB437">
        <v>185</v>
      </c>
      <c r="BC437" t="s">
        <v>617</v>
      </c>
      <c r="BD437" t="s">
        <v>74</v>
      </c>
      <c r="BE437" t="s">
        <v>74</v>
      </c>
      <c r="BF437" t="s">
        <v>74</v>
      </c>
      <c r="BG437" t="s">
        <v>74</v>
      </c>
      <c r="BH437" t="s">
        <v>74</v>
      </c>
      <c r="BI437">
        <v>4</v>
      </c>
      <c r="BJ437" t="s">
        <v>801</v>
      </c>
      <c r="BK437" t="s">
        <v>266</v>
      </c>
      <c r="BL437" t="s">
        <v>801</v>
      </c>
      <c r="BM437" t="s">
        <v>6862</v>
      </c>
      <c r="BN437" t="s">
        <v>74</v>
      </c>
      <c r="BO437" t="s">
        <v>74</v>
      </c>
      <c r="BP437" t="s">
        <v>74</v>
      </c>
      <c r="BQ437" t="s">
        <v>74</v>
      </c>
      <c r="BR437" t="s">
        <v>100</v>
      </c>
      <c r="BS437" t="s">
        <v>6896</v>
      </c>
      <c r="BT437" t="str">
        <f>HYPERLINK("https%3A%2F%2Fwww.webofscience.com%2Fwos%2Fwoscc%2Ffull-record%2FWOS:000245916100017","View Full Record in Web of Science")</f>
        <v>View Full Record in Web of Science</v>
      </c>
    </row>
    <row r="438" spans="1:72" x14ac:dyDescent="0.15">
      <c r="A438" t="s">
        <v>213</v>
      </c>
      <c r="B438" t="s">
        <v>6897</v>
      </c>
      <c r="C438" t="s">
        <v>74</v>
      </c>
      <c r="D438" t="s">
        <v>6898</v>
      </c>
      <c r="E438" t="s">
        <v>74</v>
      </c>
      <c r="F438" t="s">
        <v>6899</v>
      </c>
      <c r="G438" t="s">
        <v>74</v>
      </c>
      <c r="H438" t="s">
        <v>74</v>
      </c>
      <c r="I438" t="s">
        <v>6900</v>
      </c>
      <c r="J438" t="s">
        <v>6901</v>
      </c>
      <c r="K438" t="s">
        <v>6902</v>
      </c>
      <c r="L438" t="s">
        <v>74</v>
      </c>
      <c r="M438" t="s">
        <v>78</v>
      </c>
      <c r="N438" t="s">
        <v>219</v>
      </c>
      <c r="O438" t="s">
        <v>74</v>
      </c>
      <c r="P438" t="s">
        <v>74</v>
      </c>
      <c r="Q438" t="s">
        <v>74</v>
      </c>
      <c r="R438" t="s">
        <v>74</v>
      </c>
      <c r="S438" t="s">
        <v>74</v>
      </c>
      <c r="T438" t="s">
        <v>74</v>
      </c>
      <c r="U438" t="s">
        <v>6903</v>
      </c>
      <c r="V438" t="s">
        <v>74</v>
      </c>
      <c r="W438" t="s">
        <v>6904</v>
      </c>
      <c r="X438" t="s">
        <v>6905</v>
      </c>
      <c r="Y438" t="s">
        <v>6906</v>
      </c>
      <c r="Z438" t="s">
        <v>6907</v>
      </c>
      <c r="AA438" t="s">
        <v>6908</v>
      </c>
      <c r="AB438" t="s">
        <v>6909</v>
      </c>
      <c r="AC438" t="s">
        <v>74</v>
      </c>
      <c r="AD438" t="s">
        <v>74</v>
      </c>
      <c r="AE438" t="s">
        <v>74</v>
      </c>
      <c r="AF438" t="s">
        <v>74</v>
      </c>
      <c r="AG438">
        <v>76</v>
      </c>
      <c r="AH438">
        <v>58</v>
      </c>
      <c r="AI438">
        <v>62</v>
      </c>
      <c r="AJ438">
        <v>0</v>
      </c>
      <c r="AK438">
        <v>2</v>
      </c>
      <c r="AL438" t="s">
        <v>6910</v>
      </c>
      <c r="AM438" t="s">
        <v>6911</v>
      </c>
      <c r="AN438" t="s">
        <v>6912</v>
      </c>
      <c r="AO438" t="s">
        <v>74</v>
      </c>
      <c r="AP438" t="s">
        <v>74</v>
      </c>
      <c r="AQ438" t="s">
        <v>6913</v>
      </c>
      <c r="AR438" t="s">
        <v>6914</v>
      </c>
      <c r="AS438" t="s">
        <v>74</v>
      </c>
      <c r="AT438" t="s">
        <v>74</v>
      </c>
      <c r="AU438">
        <v>2007</v>
      </c>
      <c r="AV438">
        <v>1</v>
      </c>
      <c r="AW438" t="s">
        <v>74</v>
      </c>
      <c r="AX438" t="s">
        <v>74</v>
      </c>
      <c r="AY438" t="s">
        <v>74</v>
      </c>
      <c r="AZ438" t="s">
        <v>74</v>
      </c>
      <c r="BA438" t="s">
        <v>74</v>
      </c>
      <c r="BB438">
        <v>211</v>
      </c>
      <c r="BC438">
        <v>233</v>
      </c>
      <c r="BD438" t="s">
        <v>74</v>
      </c>
      <c r="BE438" t="s">
        <v>74</v>
      </c>
      <c r="BF438" t="s">
        <v>74</v>
      </c>
      <c r="BG438" t="s">
        <v>74</v>
      </c>
      <c r="BH438" t="s">
        <v>74</v>
      </c>
      <c r="BI438">
        <v>23</v>
      </c>
      <c r="BJ438" t="s">
        <v>5787</v>
      </c>
      <c r="BK438" t="s">
        <v>238</v>
      </c>
      <c r="BL438" t="s">
        <v>226</v>
      </c>
      <c r="BM438" t="s">
        <v>6915</v>
      </c>
      <c r="BN438" t="s">
        <v>74</v>
      </c>
      <c r="BO438" t="s">
        <v>74</v>
      </c>
      <c r="BP438" t="s">
        <v>74</v>
      </c>
      <c r="BQ438" t="s">
        <v>74</v>
      </c>
      <c r="BR438" t="s">
        <v>100</v>
      </c>
      <c r="BS438" t="s">
        <v>6916</v>
      </c>
      <c r="BT438" t="str">
        <f>HYPERLINK("https%3A%2F%2Fwww.webofscience.com%2Fwos%2Fwoscc%2Ffull-record%2FWOS:000310800000015","View Full Record in Web of Science")</f>
        <v>View Full Record in Web of Science</v>
      </c>
    </row>
    <row r="439" spans="1:72" x14ac:dyDescent="0.15">
      <c r="A439" t="s">
        <v>213</v>
      </c>
      <c r="B439" t="s">
        <v>6917</v>
      </c>
      <c r="C439" t="s">
        <v>74</v>
      </c>
      <c r="D439" t="s">
        <v>6898</v>
      </c>
      <c r="E439" t="s">
        <v>74</v>
      </c>
      <c r="F439" t="s">
        <v>6918</v>
      </c>
      <c r="G439" t="s">
        <v>74</v>
      </c>
      <c r="H439" t="s">
        <v>74</v>
      </c>
      <c r="I439" t="s">
        <v>6919</v>
      </c>
      <c r="J439" t="s">
        <v>6901</v>
      </c>
      <c r="K439" t="s">
        <v>6902</v>
      </c>
      <c r="L439" t="s">
        <v>74</v>
      </c>
      <c r="M439" t="s">
        <v>78</v>
      </c>
      <c r="N439" t="s">
        <v>219</v>
      </c>
      <c r="O439" t="s">
        <v>74</v>
      </c>
      <c r="P439" t="s">
        <v>74</v>
      </c>
      <c r="Q439" t="s">
        <v>74</v>
      </c>
      <c r="R439" t="s">
        <v>74</v>
      </c>
      <c r="S439" t="s">
        <v>74</v>
      </c>
      <c r="T439" t="s">
        <v>74</v>
      </c>
      <c r="U439" t="s">
        <v>6920</v>
      </c>
      <c r="V439" t="s">
        <v>74</v>
      </c>
      <c r="W439" t="s">
        <v>6921</v>
      </c>
      <c r="X439" t="s">
        <v>6922</v>
      </c>
      <c r="Y439" t="s">
        <v>6923</v>
      </c>
      <c r="Z439" t="s">
        <v>6924</v>
      </c>
      <c r="AA439" t="s">
        <v>6925</v>
      </c>
      <c r="AB439" t="s">
        <v>6926</v>
      </c>
      <c r="AC439" t="s">
        <v>74</v>
      </c>
      <c r="AD439" t="s">
        <v>74</v>
      </c>
      <c r="AE439" t="s">
        <v>74</v>
      </c>
      <c r="AF439" t="s">
        <v>74</v>
      </c>
      <c r="AG439">
        <v>38</v>
      </c>
      <c r="AH439">
        <v>2</v>
      </c>
      <c r="AI439">
        <v>3</v>
      </c>
      <c r="AJ439">
        <v>0</v>
      </c>
      <c r="AK439">
        <v>2</v>
      </c>
      <c r="AL439" t="s">
        <v>6910</v>
      </c>
      <c r="AM439" t="s">
        <v>6911</v>
      </c>
      <c r="AN439" t="s">
        <v>6912</v>
      </c>
      <c r="AO439" t="s">
        <v>74</v>
      </c>
      <c r="AP439" t="s">
        <v>74</v>
      </c>
      <c r="AQ439" t="s">
        <v>6913</v>
      </c>
      <c r="AR439" t="s">
        <v>6914</v>
      </c>
      <c r="AS439" t="s">
        <v>74</v>
      </c>
      <c r="AT439" t="s">
        <v>74</v>
      </c>
      <c r="AU439">
        <v>2007</v>
      </c>
      <c r="AV439">
        <v>1</v>
      </c>
      <c r="AW439" t="s">
        <v>74</v>
      </c>
      <c r="AX439" t="s">
        <v>74</v>
      </c>
      <c r="AY439" t="s">
        <v>74</v>
      </c>
      <c r="AZ439" t="s">
        <v>74</v>
      </c>
      <c r="BA439" t="s">
        <v>74</v>
      </c>
      <c r="BB439">
        <v>235</v>
      </c>
      <c r="BC439">
        <v>248</v>
      </c>
      <c r="BD439" t="s">
        <v>74</v>
      </c>
      <c r="BE439" t="s">
        <v>74</v>
      </c>
      <c r="BF439" t="s">
        <v>74</v>
      </c>
      <c r="BG439" t="s">
        <v>74</v>
      </c>
      <c r="BH439" t="s">
        <v>74</v>
      </c>
      <c r="BI439">
        <v>14</v>
      </c>
      <c r="BJ439" t="s">
        <v>5787</v>
      </c>
      <c r="BK439" t="s">
        <v>238</v>
      </c>
      <c r="BL439" t="s">
        <v>226</v>
      </c>
      <c r="BM439" t="s">
        <v>6915</v>
      </c>
      <c r="BN439" t="s">
        <v>74</v>
      </c>
      <c r="BO439" t="s">
        <v>74</v>
      </c>
      <c r="BP439" t="s">
        <v>74</v>
      </c>
      <c r="BQ439" t="s">
        <v>74</v>
      </c>
      <c r="BR439" t="s">
        <v>100</v>
      </c>
      <c r="BS439" t="s">
        <v>6927</v>
      </c>
      <c r="BT439" t="str">
        <f>HYPERLINK("https%3A%2F%2Fwww.webofscience.com%2Fwos%2Fwoscc%2Ffull-record%2FWOS:000310800000016","View Full Record in Web of Science")</f>
        <v>View Full Record in Web of Science</v>
      </c>
    </row>
    <row r="440" spans="1:72" x14ac:dyDescent="0.15">
      <c r="A440" t="s">
        <v>72</v>
      </c>
      <c r="B440" t="s">
        <v>6928</v>
      </c>
      <c r="C440" t="s">
        <v>74</v>
      </c>
      <c r="D440" t="s">
        <v>74</v>
      </c>
      <c r="E440" t="s">
        <v>74</v>
      </c>
      <c r="F440" t="s">
        <v>6929</v>
      </c>
      <c r="G440" t="s">
        <v>74</v>
      </c>
      <c r="H440" t="s">
        <v>74</v>
      </c>
      <c r="I440" t="s">
        <v>6930</v>
      </c>
      <c r="J440" t="s">
        <v>6931</v>
      </c>
      <c r="K440" t="s">
        <v>74</v>
      </c>
      <c r="L440" t="s">
        <v>74</v>
      </c>
      <c r="M440" t="s">
        <v>78</v>
      </c>
      <c r="N440" t="s">
        <v>366</v>
      </c>
      <c r="O440" t="s">
        <v>74</v>
      </c>
      <c r="P440" t="s">
        <v>74</v>
      </c>
      <c r="Q440" t="s">
        <v>74</v>
      </c>
      <c r="R440" t="s">
        <v>74</v>
      </c>
      <c r="S440" t="s">
        <v>74</v>
      </c>
      <c r="T440" t="s">
        <v>6932</v>
      </c>
      <c r="U440" t="s">
        <v>6933</v>
      </c>
      <c r="V440" t="s">
        <v>6934</v>
      </c>
      <c r="W440" t="s">
        <v>6935</v>
      </c>
      <c r="X440" t="s">
        <v>6936</v>
      </c>
      <c r="Y440" t="s">
        <v>6937</v>
      </c>
      <c r="Z440" t="s">
        <v>6938</v>
      </c>
      <c r="AA440" t="s">
        <v>6939</v>
      </c>
      <c r="AB440" t="s">
        <v>6940</v>
      </c>
      <c r="AC440" t="s">
        <v>6941</v>
      </c>
      <c r="AD440" t="s">
        <v>6942</v>
      </c>
      <c r="AE440" t="s">
        <v>74</v>
      </c>
      <c r="AF440" t="s">
        <v>74</v>
      </c>
      <c r="AG440">
        <v>321</v>
      </c>
      <c r="AH440">
        <v>570</v>
      </c>
      <c r="AI440">
        <v>614</v>
      </c>
      <c r="AJ440">
        <v>3</v>
      </c>
      <c r="AK440">
        <v>61</v>
      </c>
      <c r="AL440" t="s">
        <v>613</v>
      </c>
      <c r="AM440" t="s">
        <v>614</v>
      </c>
      <c r="AN440" t="s">
        <v>1156</v>
      </c>
      <c r="AO440" t="s">
        <v>6943</v>
      </c>
      <c r="AP440" t="s">
        <v>6944</v>
      </c>
      <c r="AQ440" t="s">
        <v>74</v>
      </c>
      <c r="AR440" t="s">
        <v>6945</v>
      </c>
      <c r="AS440" t="s">
        <v>6946</v>
      </c>
      <c r="AT440" t="s">
        <v>661</v>
      </c>
      <c r="AU440">
        <v>2007</v>
      </c>
      <c r="AV440">
        <v>28</v>
      </c>
      <c r="AW440">
        <v>1</v>
      </c>
      <c r="AX440" t="s">
        <v>74</v>
      </c>
      <c r="AY440" t="s">
        <v>74</v>
      </c>
      <c r="AZ440" t="s">
        <v>74</v>
      </c>
      <c r="BA440" t="s">
        <v>74</v>
      </c>
      <c r="BB440">
        <v>33</v>
      </c>
      <c r="BC440">
        <v>109</v>
      </c>
      <c r="BD440" t="s">
        <v>74</v>
      </c>
      <c r="BE440" t="s">
        <v>6947</v>
      </c>
      <c r="BF440" t="str">
        <f>HYPERLINK("http://dx.doi.org/10.1007/s10712-007-9017-8","http://dx.doi.org/10.1007/s10712-007-9017-8")</f>
        <v>http://dx.doi.org/10.1007/s10712-007-9017-8</v>
      </c>
      <c r="BG440" t="s">
        <v>74</v>
      </c>
      <c r="BH440" t="s">
        <v>74</v>
      </c>
      <c r="BI440">
        <v>77</v>
      </c>
      <c r="BJ440" t="s">
        <v>865</v>
      </c>
      <c r="BK440" t="s">
        <v>97</v>
      </c>
      <c r="BL440" t="s">
        <v>865</v>
      </c>
      <c r="BM440" t="s">
        <v>6948</v>
      </c>
      <c r="BN440" t="s">
        <v>74</v>
      </c>
      <c r="BO440" t="s">
        <v>4486</v>
      </c>
      <c r="BP440" t="s">
        <v>74</v>
      </c>
      <c r="BQ440" t="s">
        <v>74</v>
      </c>
      <c r="BR440" t="s">
        <v>100</v>
      </c>
      <c r="BS440" t="s">
        <v>6949</v>
      </c>
      <c r="BT440" t="str">
        <f>HYPERLINK("https%3A%2F%2Fwww.webofscience.com%2Fwos%2Fwoscc%2Ffull-record%2FWOS:000247195400002","View Full Record in Web of Science")</f>
        <v>View Full Record in Web of Science</v>
      </c>
    </row>
    <row r="441" spans="1:72" x14ac:dyDescent="0.15">
      <c r="A441" t="s">
        <v>241</v>
      </c>
      <c r="B441" t="s">
        <v>6950</v>
      </c>
      <c r="C441" t="s">
        <v>74</v>
      </c>
      <c r="D441" t="s">
        <v>6951</v>
      </c>
      <c r="E441" t="s">
        <v>74</v>
      </c>
      <c r="F441" t="s">
        <v>6952</v>
      </c>
      <c r="G441" t="s">
        <v>74</v>
      </c>
      <c r="H441" t="s">
        <v>74</v>
      </c>
      <c r="I441" t="s">
        <v>6953</v>
      </c>
      <c r="J441" t="s">
        <v>6954</v>
      </c>
      <c r="K441" t="s">
        <v>6955</v>
      </c>
      <c r="L441" t="s">
        <v>74</v>
      </c>
      <c r="M441" t="s">
        <v>78</v>
      </c>
      <c r="N441" t="s">
        <v>248</v>
      </c>
      <c r="O441" t="s">
        <v>6956</v>
      </c>
      <c r="P441" t="s">
        <v>6957</v>
      </c>
      <c r="Q441" t="s">
        <v>6958</v>
      </c>
      <c r="R441" t="s">
        <v>74</v>
      </c>
      <c r="S441" t="s">
        <v>74</v>
      </c>
      <c r="T441" t="s">
        <v>74</v>
      </c>
      <c r="U441" t="s">
        <v>74</v>
      </c>
      <c r="V441" t="s">
        <v>6959</v>
      </c>
      <c r="W441" t="s">
        <v>6960</v>
      </c>
      <c r="X441" t="s">
        <v>74</v>
      </c>
      <c r="Y441" t="s">
        <v>74</v>
      </c>
      <c r="Z441" t="s">
        <v>74</v>
      </c>
      <c r="AA441" t="s">
        <v>74</v>
      </c>
      <c r="AB441" t="s">
        <v>74</v>
      </c>
      <c r="AC441" t="s">
        <v>74</v>
      </c>
      <c r="AD441" t="s">
        <v>74</v>
      </c>
      <c r="AE441" t="s">
        <v>74</v>
      </c>
      <c r="AF441" t="s">
        <v>74</v>
      </c>
      <c r="AG441">
        <v>4</v>
      </c>
      <c r="AH441">
        <v>0</v>
      </c>
      <c r="AI441">
        <v>0</v>
      </c>
      <c r="AJ441">
        <v>0</v>
      </c>
      <c r="AK441">
        <v>3</v>
      </c>
      <c r="AL441" t="s">
        <v>6961</v>
      </c>
      <c r="AM441" t="s">
        <v>6962</v>
      </c>
      <c r="AN441" t="s">
        <v>6963</v>
      </c>
      <c r="AO441" t="s">
        <v>6964</v>
      </c>
      <c r="AP441" t="s">
        <v>74</v>
      </c>
      <c r="AQ441" t="s">
        <v>6965</v>
      </c>
      <c r="AR441" t="s">
        <v>6966</v>
      </c>
      <c r="AS441" t="s">
        <v>6967</v>
      </c>
      <c r="AT441" t="s">
        <v>74</v>
      </c>
      <c r="AU441">
        <v>2007</v>
      </c>
      <c r="AV441">
        <v>102</v>
      </c>
      <c r="AW441" t="s">
        <v>74</v>
      </c>
      <c r="AX441" t="s">
        <v>74</v>
      </c>
      <c r="AY441" t="s">
        <v>74</v>
      </c>
      <c r="AZ441" t="s">
        <v>74</v>
      </c>
      <c r="BA441" t="s">
        <v>74</v>
      </c>
      <c r="BB441">
        <v>1049</v>
      </c>
      <c r="BC441">
        <v>1057</v>
      </c>
      <c r="BD441" t="s">
        <v>74</v>
      </c>
      <c r="BE441" t="s">
        <v>6968</v>
      </c>
      <c r="BF441" t="str">
        <f>HYPERLINK("http://dx.doi.org/10.2495/SDP071012","http://dx.doi.org/10.2495/SDP071012")</f>
        <v>http://dx.doi.org/10.2495/SDP071012</v>
      </c>
      <c r="BG441" t="s">
        <v>74</v>
      </c>
      <c r="BH441" t="s">
        <v>74</v>
      </c>
      <c r="BI441">
        <v>9</v>
      </c>
      <c r="BJ441" t="s">
        <v>6969</v>
      </c>
      <c r="BK441" t="s">
        <v>6970</v>
      </c>
      <c r="BL441" t="s">
        <v>6971</v>
      </c>
      <c r="BM441" t="s">
        <v>6972</v>
      </c>
      <c r="BN441" t="s">
        <v>74</v>
      </c>
      <c r="BO441" t="s">
        <v>124</v>
      </c>
      <c r="BP441" t="s">
        <v>74</v>
      </c>
      <c r="BQ441" t="s">
        <v>74</v>
      </c>
      <c r="BR441" t="s">
        <v>100</v>
      </c>
      <c r="BS441" t="s">
        <v>6973</v>
      </c>
      <c r="BT441" t="str">
        <f>HYPERLINK("https%3A%2F%2Fwww.webofscience.com%2Fwos%2Fwoscc%2Ffull-record%2FWOS:000247290100101","View Full Record in Web of Science")</f>
        <v>View Full Record in Web of Science</v>
      </c>
    </row>
    <row r="442" spans="1:72" x14ac:dyDescent="0.15">
      <c r="A442" t="s">
        <v>888</v>
      </c>
      <c r="B442" t="s">
        <v>6974</v>
      </c>
      <c r="C442" t="s">
        <v>74</v>
      </c>
      <c r="D442" t="s">
        <v>6975</v>
      </c>
      <c r="E442" t="s">
        <v>74</v>
      </c>
      <c r="F442" t="s">
        <v>6976</v>
      </c>
      <c r="G442" t="s">
        <v>74</v>
      </c>
      <c r="H442" t="s">
        <v>74</v>
      </c>
      <c r="I442" t="s">
        <v>6977</v>
      </c>
      <c r="J442" t="s">
        <v>6978</v>
      </c>
      <c r="K442" t="s">
        <v>2196</v>
      </c>
      <c r="L442" t="s">
        <v>74</v>
      </c>
      <c r="M442" t="s">
        <v>78</v>
      </c>
      <c r="N442" t="s">
        <v>219</v>
      </c>
      <c r="O442" t="s">
        <v>74</v>
      </c>
      <c r="P442" t="s">
        <v>74</v>
      </c>
      <c r="Q442" t="s">
        <v>74</v>
      </c>
      <c r="R442" t="s">
        <v>74</v>
      </c>
      <c r="S442" t="s">
        <v>74</v>
      </c>
      <c r="T442" t="s">
        <v>74</v>
      </c>
      <c r="U442" t="s">
        <v>6979</v>
      </c>
      <c r="V442" t="s">
        <v>6980</v>
      </c>
      <c r="W442" t="s">
        <v>6981</v>
      </c>
      <c r="X442" t="s">
        <v>6982</v>
      </c>
      <c r="Y442" t="s">
        <v>6983</v>
      </c>
      <c r="Z442" t="s">
        <v>6601</v>
      </c>
      <c r="AA442" t="s">
        <v>6984</v>
      </c>
      <c r="AB442" t="s">
        <v>6985</v>
      </c>
      <c r="AC442" t="s">
        <v>74</v>
      </c>
      <c r="AD442" t="s">
        <v>74</v>
      </c>
      <c r="AE442" t="s">
        <v>74</v>
      </c>
      <c r="AF442" t="s">
        <v>74</v>
      </c>
      <c r="AG442">
        <v>50</v>
      </c>
      <c r="AH442">
        <v>40</v>
      </c>
      <c r="AI442">
        <v>42</v>
      </c>
      <c r="AJ442">
        <v>0</v>
      </c>
      <c r="AK442">
        <v>4</v>
      </c>
      <c r="AL442" t="s">
        <v>1927</v>
      </c>
      <c r="AM442" t="s">
        <v>1928</v>
      </c>
      <c r="AN442" t="s">
        <v>1929</v>
      </c>
      <c r="AO442" t="s">
        <v>2207</v>
      </c>
      <c r="AP442" t="s">
        <v>74</v>
      </c>
      <c r="AQ442" t="s">
        <v>6986</v>
      </c>
      <c r="AR442" t="s">
        <v>2209</v>
      </c>
      <c r="AS442" t="s">
        <v>2210</v>
      </c>
      <c r="AT442" t="s">
        <v>74</v>
      </c>
      <c r="AU442">
        <v>2007</v>
      </c>
      <c r="AV442">
        <v>290</v>
      </c>
      <c r="AW442" t="s">
        <v>74</v>
      </c>
      <c r="AX442" t="s">
        <v>74</v>
      </c>
      <c r="AY442" t="s">
        <v>74</v>
      </c>
      <c r="AZ442" t="s">
        <v>74</v>
      </c>
      <c r="BA442" t="s">
        <v>74</v>
      </c>
      <c r="BB442">
        <v>203</v>
      </c>
      <c r="BC442">
        <v>217</v>
      </c>
      <c r="BD442" t="s">
        <v>74</v>
      </c>
      <c r="BE442" t="s">
        <v>6987</v>
      </c>
      <c r="BF442" t="str">
        <f>HYPERLINK("http://dx.doi.org/10.1144/SP290.6","http://dx.doi.org/10.1144/SP290.6")</f>
        <v>http://dx.doi.org/10.1144/SP290.6</v>
      </c>
      <c r="BG442" t="s">
        <v>74</v>
      </c>
      <c r="BH442" t="s">
        <v>74</v>
      </c>
      <c r="BI442">
        <v>15</v>
      </c>
      <c r="BJ442" t="s">
        <v>642</v>
      </c>
      <c r="BK442" t="s">
        <v>238</v>
      </c>
      <c r="BL442" t="s">
        <v>642</v>
      </c>
      <c r="BM442" t="s">
        <v>6988</v>
      </c>
      <c r="BN442" t="s">
        <v>74</v>
      </c>
      <c r="BO442" t="s">
        <v>74</v>
      </c>
      <c r="BP442" t="s">
        <v>74</v>
      </c>
      <c r="BQ442" t="s">
        <v>74</v>
      </c>
      <c r="BR442" t="s">
        <v>100</v>
      </c>
      <c r="BS442" t="s">
        <v>6989</v>
      </c>
      <c r="BT442" t="str">
        <f>HYPERLINK("https%3A%2F%2Fwww.webofscience.com%2Fwos%2Fwoscc%2Ffull-record%2FWOS:000266960600006","View Full Record in Web of Science")</f>
        <v>View Full Record in Web of Science</v>
      </c>
    </row>
    <row r="443" spans="1:72" x14ac:dyDescent="0.15">
      <c r="A443" t="s">
        <v>72</v>
      </c>
      <c r="B443" t="s">
        <v>6990</v>
      </c>
      <c r="C443" t="s">
        <v>74</v>
      </c>
      <c r="D443" t="s">
        <v>74</v>
      </c>
      <c r="E443" t="s">
        <v>74</v>
      </c>
      <c r="F443" t="s">
        <v>6991</v>
      </c>
      <c r="G443" t="s">
        <v>74</v>
      </c>
      <c r="H443" t="s">
        <v>74</v>
      </c>
      <c r="I443" t="s">
        <v>6992</v>
      </c>
      <c r="J443" t="s">
        <v>6993</v>
      </c>
      <c r="K443" t="s">
        <v>74</v>
      </c>
      <c r="L443" t="s">
        <v>74</v>
      </c>
      <c r="M443" t="s">
        <v>78</v>
      </c>
      <c r="N443" t="s">
        <v>79</v>
      </c>
      <c r="O443" t="s">
        <v>74</v>
      </c>
      <c r="P443" t="s">
        <v>74</v>
      </c>
      <c r="Q443" t="s">
        <v>74</v>
      </c>
      <c r="R443" t="s">
        <v>74</v>
      </c>
      <c r="S443" t="s">
        <v>74</v>
      </c>
      <c r="T443" t="s">
        <v>6994</v>
      </c>
      <c r="U443" t="s">
        <v>74</v>
      </c>
      <c r="V443" t="s">
        <v>6995</v>
      </c>
      <c r="W443" t="s">
        <v>6996</v>
      </c>
      <c r="X443" t="s">
        <v>6997</v>
      </c>
      <c r="Y443" t="s">
        <v>6998</v>
      </c>
      <c r="Z443" t="s">
        <v>6999</v>
      </c>
      <c r="AA443" t="s">
        <v>74</v>
      </c>
      <c r="AB443" t="s">
        <v>74</v>
      </c>
      <c r="AC443" t="s">
        <v>74</v>
      </c>
      <c r="AD443" t="s">
        <v>74</v>
      </c>
      <c r="AE443" t="s">
        <v>74</v>
      </c>
      <c r="AF443" t="s">
        <v>74</v>
      </c>
      <c r="AG443">
        <v>25</v>
      </c>
      <c r="AH443">
        <v>6</v>
      </c>
      <c r="AI443">
        <v>7</v>
      </c>
      <c r="AJ443">
        <v>0</v>
      </c>
      <c r="AK443">
        <v>4</v>
      </c>
      <c r="AL443" t="s">
        <v>7000</v>
      </c>
      <c r="AM443" t="s">
        <v>7001</v>
      </c>
      <c r="AN443" t="s">
        <v>7002</v>
      </c>
      <c r="AO443" t="s">
        <v>7003</v>
      </c>
      <c r="AP443" t="s">
        <v>7004</v>
      </c>
      <c r="AQ443" t="s">
        <v>74</v>
      </c>
      <c r="AR443" t="s">
        <v>7005</v>
      </c>
      <c r="AS443" t="s">
        <v>7006</v>
      </c>
      <c r="AT443" t="s">
        <v>74</v>
      </c>
      <c r="AU443">
        <v>2007</v>
      </c>
      <c r="AV443">
        <v>11</v>
      </c>
      <c r="AW443">
        <v>3</v>
      </c>
      <c r="AX443" t="s">
        <v>74</v>
      </c>
      <c r="AY443" t="s">
        <v>74</v>
      </c>
      <c r="AZ443" t="s">
        <v>74</v>
      </c>
      <c r="BA443" t="s">
        <v>74</v>
      </c>
      <c r="BB443">
        <v>197</v>
      </c>
      <c r="BC443">
        <v>204</v>
      </c>
      <c r="BD443" t="s">
        <v>74</v>
      </c>
      <c r="BE443" t="s">
        <v>7007</v>
      </c>
      <c r="BF443" t="str">
        <f>HYPERLINK("http://dx.doi.org/10.3727/154427207783948793","http://dx.doi.org/10.3727/154427207783948793")</f>
        <v>http://dx.doi.org/10.3727/154427207783948793</v>
      </c>
      <c r="BG443" t="s">
        <v>74</v>
      </c>
      <c r="BH443" t="s">
        <v>74</v>
      </c>
      <c r="BI443">
        <v>8</v>
      </c>
      <c r="BJ443" t="s">
        <v>7008</v>
      </c>
      <c r="BK443" t="s">
        <v>643</v>
      </c>
      <c r="BL443" t="s">
        <v>7009</v>
      </c>
      <c r="BM443" t="s">
        <v>7010</v>
      </c>
      <c r="BN443" t="s">
        <v>74</v>
      </c>
      <c r="BO443" t="s">
        <v>74</v>
      </c>
      <c r="BP443" t="s">
        <v>74</v>
      </c>
      <c r="BQ443" t="s">
        <v>74</v>
      </c>
      <c r="BR443" t="s">
        <v>100</v>
      </c>
      <c r="BS443" t="s">
        <v>7011</v>
      </c>
      <c r="BT443" t="str">
        <f>HYPERLINK("https%3A%2F%2Fwww.webofscience.com%2Fwos%2Fwoscc%2Ffull-record%2FWOS:000213643600002","View Full Record in Web of Science")</f>
        <v>View Full Record in Web of Science</v>
      </c>
    </row>
    <row r="444" spans="1:72" x14ac:dyDescent="0.15">
      <c r="A444" t="s">
        <v>241</v>
      </c>
      <c r="B444" t="s">
        <v>7012</v>
      </c>
      <c r="C444" t="s">
        <v>74</v>
      </c>
      <c r="D444" t="s">
        <v>7013</v>
      </c>
      <c r="E444" t="s">
        <v>74</v>
      </c>
      <c r="F444" t="s">
        <v>7014</v>
      </c>
      <c r="G444" t="s">
        <v>74</v>
      </c>
      <c r="H444" t="s">
        <v>74</v>
      </c>
      <c r="I444" t="s">
        <v>7015</v>
      </c>
      <c r="J444" t="s">
        <v>7016</v>
      </c>
      <c r="K444" t="s">
        <v>785</v>
      </c>
      <c r="L444" t="s">
        <v>74</v>
      </c>
      <c r="M444" t="s">
        <v>78</v>
      </c>
      <c r="N444" t="s">
        <v>248</v>
      </c>
      <c r="O444" t="s">
        <v>7017</v>
      </c>
      <c r="P444" t="s">
        <v>7018</v>
      </c>
      <c r="Q444" t="s">
        <v>7019</v>
      </c>
      <c r="R444" t="s">
        <v>74</v>
      </c>
      <c r="S444" t="s">
        <v>7020</v>
      </c>
      <c r="T444" t="s">
        <v>74</v>
      </c>
      <c r="U444" t="s">
        <v>74</v>
      </c>
      <c r="V444" t="s">
        <v>7021</v>
      </c>
      <c r="W444" t="s">
        <v>7022</v>
      </c>
      <c r="X444" t="s">
        <v>7023</v>
      </c>
      <c r="Y444" t="s">
        <v>7024</v>
      </c>
      <c r="Z444" t="s">
        <v>74</v>
      </c>
      <c r="AA444" t="s">
        <v>7025</v>
      </c>
      <c r="AB444" t="s">
        <v>7026</v>
      </c>
      <c r="AC444" t="s">
        <v>74</v>
      </c>
      <c r="AD444" t="s">
        <v>74</v>
      </c>
      <c r="AE444" t="s">
        <v>74</v>
      </c>
      <c r="AF444" t="s">
        <v>74</v>
      </c>
      <c r="AG444">
        <v>2</v>
      </c>
      <c r="AH444">
        <v>7</v>
      </c>
      <c r="AI444">
        <v>7</v>
      </c>
      <c r="AJ444">
        <v>0</v>
      </c>
      <c r="AK444">
        <v>0</v>
      </c>
      <c r="AL444" t="s">
        <v>796</v>
      </c>
      <c r="AM444" t="s">
        <v>797</v>
      </c>
      <c r="AN444" t="s">
        <v>798</v>
      </c>
      <c r="AO444" t="s">
        <v>74</v>
      </c>
      <c r="AP444" t="s">
        <v>74</v>
      </c>
      <c r="AQ444" t="s">
        <v>7027</v>
      </c>
      <c r="AR444" t="s">
        <v>800</v>
      </c>
      <c r="AS444" t="s">
        <v>74</v>
      </c>
      <c r="AT444" t="s">
        <v>74</v>
      </c>
      <c r="AU444">
        <v>2007</v>
      </c>
      <c r="AV444">
        <v>366</v>
      </c>
      <c r="AW444" t="s">
        <v>74</v>
      </c>
      <c r="AX444" t="s">
        <v>74</v>
      </c>
      <c r="AY444" t="s">
        <v>74</v>
      </c>
      <c r="AZ444" t="s">
        <v>74</v>
      </c>
      <c r="BA444" t="s">
        <v>74</v>
      </c>
      <c r="BB444">
        <v>332</v>
      </c>
      <c r="BC444" t="s">
        <v>617</v>
      </c>
      <c r="BD444" t="s">
        <v>74</v>
      </c>
      <c r="BE444" t="s">
        <v>74</v>
      </c>
      <c r="BF444" t="s">
        <v>74</v>
      </c>
      <c r="BG444" t="s">
        <v>74</v>
      </c>
      <c r="BH444" t="s">
        <v>74</v>
      </c>
      <c r="BI444">
        <v>2</v>
      </c>
      <c r="BJ444" t="s">
        <v>801</v>
      </c>
      <c r="BK444" t="s">
        <v>266</v>
      </c>
      <c r="BL444" t="s">
        <v>801</v>
      </c>
      <c r="BM444" t="s">
        <v>7028</v>
      </c>
      <c r="BN444" t="s">
        <v>74</v>
      </c>
      <c r="BO444" t="s">
        <v>74</v>
      </c>
      <c r="BP444" t="s">
        <v>74</v>
      </c>
      <c r="BQ444" t="s">
        <v>74</v>
      </c>
      <c r="BR444" t="s">
        <v>100</v>
      </c>
      <c r="BS444" t="s">
        <v>7029</v>
      </c>
      <c r="BT444" t="str">
        <f>HYPERLINK("https%3A%2F%2Fwww.webofscience.com%2Fwos%2Fwoscc%2Ffull-record%2FWOS:000247385200059","View Full Record in Web of Science")</f>
        <v>View Full Record in Web of Science</v>
      </c>
    </row>
    <row r="445" spans="1:72" x14ac:dyDescent="0.15">
      <c r="A445" t="s">
        <v>241</v>
      </c>
      <c r="B445" t="s">
        <v>5141</v>
      </c>
      <c r="C445" t="s">
        <v>74</v>
      </c>
      <c r="D445" t="s">
        <v>7030</v>
      </c>
      <c r="E445" t="s">
        <v>74</v>
      </c>
      <c r="F445" t="s">
        <v>7031</v>
      </c>
      <c r="G445" t="s">
        <v>74</v>
      </c>
      <c r="H445" t="s">
        <v>74</v>
      </c>
      <c r="I445" t="s">
        <v>7032</v>
      </c>
      <c r="J445" t="s">
        <v>7033</v>
      </c>
      <c r="K445" t="s">
        <v>694</v>
      </c>
      <c r="L445" t="s">
        <v>74</v>
      </c>
      <c r="M445" t="s">
        <v>78</v>
      </c>
      <c r="N445" t="s">
        <v>248</v>
      </c>
      <c r="O445" t="s">
        <v>7034</v>
      </c>
      <c r="P445" t="s">
        <v>7035</v>
      </c>
      <c r="Q445" t="s">
        <v>7036</v>
      </c>
      <c r="R445" t="s">
        <v>74</v>
      </c>
      <c r="S445" t="s">
        <v>74</v>
      </c>
      <c r="T445" t="s">
        <v>7037</v>
      </c>
      <c r="U445" t="s">
        <v>7038</v>
      </c>
      <c r="V445" t="s">
        <v>7039</v>
      </c>
      <c r="W445" t="s">
        <v>7040</v>
      </c>
      <c r="X445" t="s">
        <v>514</v>
      </c>
      <c r="Y445" t="s">
        <v>7041</v>
      </c>
      <c r="Z445" t="s">
        <v>74</v>
      </c>
      <c r="AA445" t="s">
        <v>7042</v>
      </c>
      <c r="AB445" t="s">
        <v>7043</v>
      </c>
      <c r="AC445" t="s">
        <v>5423</v>
      </c>
      <c r="AD445" t="s">
        <v>1254</v>
      </c>
      <c r="AE445" t="s">
        <v>74</v>
      </c>
      <c r="AF445" t="s">
        <v>74</v>
      </c>
      <c r="AG445">
        <v>15</v>
      </c>
      <c r="AH445">
        <v>0</v>
      </c>
      <c r="AI445">
        <v>0</v>
      </c>
      <c r="AJ445">
        <v>0</v>
      </c>
      <c r="AK445">
        <v>0</v>
      </c>
      <c r="AL445" t="s">
        <v>704</v>
      </c>
      <c r="AM445" t="s">
        <v>705</v>
      </c>
      <c r="AN445" t="s">
        <v>706</v>
      </c>
      <c r="AO445" t="s">
        <v>707</v>
      </c>
      <c r="AP445" t="s">
        <v>74</v>
      </c>
      <c r="AQ445" t="s">
        <v>7044</v>
      </c>
      <c r="AR445" t="s">
        <v>709</v>
      </c>
      <c r="AS445" t="s">
        <v>74</v>
      </c>
      <c r="AT445" t="s">
        <v>74</v>
      </c>
      <c r="AU445">
        <v>2007</v>
      </c>
      <c r="AV445">
        <v>932</v>
      </c>
      <c r="AW445" t="s">
        <v>74</v>
      </c>
      <c r="AX445" t="s">
        <v>74</v>
      </c>
      <c r="AY445" t="s">
        <v>74</v>
      </c>
      <c r="AZ445" t="s">
        <v>74</v>
      </c>
      <c r="BA445" t="s">
        <v>74</v>
      </c>
      <c r="BB445">
        <v>307</v>
      </c>
      <c r="BC445" t="s">
        <v>617</v>
      </c>
      <c r="BD445" t="s">
        <v>74</v>
      </c>
      <c r="BE445" t="s">
        <v>74</v>
      </c>
      <c r="BF445" t="s">
        <v>74</v>
      </c>
      <c r="BG445" t="s">
        <v>74</v>
      </c>
      <c r="BH445" t="s">
        <v>74</v>
      </c>
      <c r="BI445">
        <v>2</v>
      </c>
      <c r="BJ445" t="s">
        <v>7045</v>
      </c>
      <c r="BK445" t="s">
        <v>266</v>
      </c>
      <c r="BL445" t="s">
        <v>2494</v>
      </c>
      <c r="BM445" t="s">
        <v>7046</v>
      </c>
      <c r="BN445" t="s">
        <v>74</v>
      </c>
      <c r="BO445" t="s">
        <v>74</v>
      </c>
      <c r="BP445" t="s">
        <v>74</v>
      </c>
      <c r="BQ445" t="s">
        <v>74</v>
      </c>
      <c r="BR445" t="s">
        <v>100</v>
      </c>
      <c r="BS445" t="s">
        <v>7047</v>
      </c>
      <c r="BT445" t="str">
        <f>HYPERLINK("https%3A%2F%2Fwww.webofscience.com%2Fwos%2Fwoscc%2Ffull-record%2FWOS:000251152400042","View Full Record in Web of Science")</f>
        <v>View Full Record in Web of Science</v>
      </c>
    </row>
    <row r="446" spans="1:72" x14ac:dyDescent="0.15">
      <c r="A446" t="s">
        <v>888</v>
      </c>
      <c r="B446" t="s">
        <v>7048</v>
      </c>
      <c r="C446" t="s">
        <v>74</v>
      </c>
      <c r="D446" t="s">
        <v>7049</v>
      </c>
      <c r="E446" t="s">
        <v>74</v>
      </c>
      <c r="F446" t="s">
        <v>7050</v>
      </c>
      <c r="G446" t="s">
        <v>74</v>
      </c>
      <c r="H446" t="s">
        <v>74</v>
      </c>
      <c r="I446" t="s">
        <v>7051</v>
      </c>
      <c r="J446" t="s">
        <v>7052</v>
      </c>
      <c r="K446" t="s">
        <v>1096</v>
      </c>
      <c r="L446" t="s">
        <v>74</v>
      </c>
      <c r="M446" t="s">
        <v>78</v>
      </c>
      <c r="N446" t="s">
        <v>219</v>
      </c>
      <c r="O446" t="s">
        <v>74</v>
      </c>
      <c r="P446" t="s">
        <v>74</v>
      </c>
      <c r="Q446" t="s">
        <v>74</v>
      </c>
      <c r="R446" t="s">
        <v>74</v>
      </c>
      <c r="S446" t="s">
        <v>74</v>
      </c>
      <c r="T446" t="s">
        <v>7053</v>
      </c>
      <c r="U446" t="s">
        <v>7054</v>
      </c>
      <c r="V446" t="s">
        <v>7055</v>
      </c>
      <c r="W446" t="s">
        <v>7056</v>
      </c>
      <c r="X446" t="s">
        <v>7057</v>
      </c>
      <c r="Y446" t="s">
        <v>7058</v>
      </c>
      <c r="Z446" t="s">
        <v>7059</v>
      </c>
      <c r="AA446" t="s">
        <v>74</v>
      </c>
      <c r="AB446" t="s">
        <v>74</v>
      </c>
      <c r="AC446" t="s">
        <v>74</v>
      </c>
      <c r="AD446" t="s">
        <v>74</v>
      </c>
      <c r="AE446" t="s">
        <v>74</v>
      </c>
      <c r="AF446" t="s">
        <v>74</v>
      </c>
      <c r="AG446">
        <v>143</v>
      </c>
      <c r="AH446">
        <v>42</v>
      </c>
      <c r="AI446">
        <v>45</v>
      </c>
      <c r="AJ446">
        <v>0</v>
      </c>
      <c r="AK446">
        <v>2</v>
      </c>
      <c r="AL446" t="s">
        <v>1111</v>
      </c>
      <c r="AM446" t="s">
        <v>1112</v>
      </c>
      <c r="AN446" t="s">
        <v>1113</v>
      </c>
      <c r="AO446" t="s">
        <v>1114</v>
      </c>
      <c r="AP446" t="s">
        <v>74</v>
      </c>
      <c r="AQ446" t="s">
        <v>7060</v>
      </c>
      <c r="AR446" t="s">
        <v>1116</v>
      </c>
      <c r="AS446" t="s">
        <v>74</v>
      </c>
      <c r="AT446" t="s">
        <v>74</v>
      </c>
      <c r="AU446">
        <v>2007</v>
      </c>
      <c r="AV446">
        <v>433</v>
      </c>
      <c r="AW446" t="s">
        <v>74</v>
      </c>
      <c r="AX446" t="s">
        <v>74</v>
      </c>
      <c r="AY446" t="s">
        <v>74</v>
      </c>
      <c r="AZ446" t="s">
        <v>74</v>
      </c>
      <c r="BA446" t="s">
        <v>74</v>
      </c>
      <c r="BB446">
        <v>1</v>
      </c>
      <c r="BC446">
        <v>25</v>
      </c>
      <c r="BD446" t="s">
        <v>74</v>
      </c>
      <c r="BE446" t="s">
        <v>7061</v>
      </c>
      <c r="BF446" t="str">
        <f>HYPERLINK("http://dx.doi.org/10.1130/2007.2433(01)","http://dx.doi.org/10.1130/2007.2433(01)")</f>
        <v>http://dx.doi.org/10.1130/2007.2433(01)</v>
      </c>
      <c r="BG446" t="s">
        <v>74</v>
      </c>
      <c r="BH446" t="s">
        <v>74</v>
      </c>
      <c r="BI446">
        <v>25</v>
      </c>
      <c r="BJ446" t="s">
        <v>1182</v>
      </c>
      <c r="BK446" t="s">
        <v>238</v>
      </c>
      <c r="BL446" t="s">
        <v>642</v>
      </c>
      <c r="BM446" t="s">
        <v>7062</v>
      </c>
      <c r="BN446" t="s">
        <v>74</v>
      </c>
      <c r="BO446" t="s">
        <v>74</v>
      </c>
      <c r="BP446" t="s">
        <v>74</v>
      </c>
      <c r="BQ446" t="s">
        <v>74</v>
      </c>
      <c r="BR446" t="s">
        <v>100</v>
      </c>
      <c r="BS446" t="s">
        <v>7063</v>
      </c>
      <c r="BT446" t="str">
        <f>HYPERLINK("https%3A%2F%2Fwww.webofscience.com%2Fwos%2Fwoscc%2Ffull-record%2FWOS:000271292800003","View Full Record in Web of Science")</f>
        <v>View Full Record in Web of Science</v>
      </c>
    </row>
    <row r="447" spans="1:72" x14ac:dyDescent="0.15">
      <c r="A447" t="s">
        <v>241</v>
      </c>
      <c r="B447" t="s">
        <v>7064</v>
      </c>
      <c r="C447" t="s">
        <v>74</v>
      </c>
      <c r="D447" t="s">
        <v>7065</v>
      </c>
      <c r="E447" t="s">
        <v>74</v>
      </c>
      <c r="F447" t="s">
        <v>7066</v>
      </c>
      <c r="G447" t="s">
        <v>74</v>
      </c>
      <c r="H447" t="s">
        <v>74</v>
      </c>
      <c r="I447" t="s">
        <v>7067</v>
      </c>
      <c r="J447" t="s">
        <v>7068</v>
      </c>
      <c r="K447" t="s">
        <v>7069</v>
      </c>
      <c r="L447" t="s">
        <v>74</v>
      </c>
      <c r="M447" t="s">
        <v>78</v>
      </c>
      <c r="N447" t="s">
        <v>248</v>
      </c>
      <c r="O447" t="s">
        <v>7070</v>
      </c>
      <c r="P447" t="s">
        <v>7071</v>
      </c>
      <c r="Q447" t="s">
        <v>7072</v>
      </c>
      <c r="R447" t="s">
        <v>74</v>
      </c>
      <c r="S447" t="s">
        <v>74</v>
      </c>
      <c r="T447" t="s">
        <v>7073</v>
      </c>
      <c r="U447" t="s">
        <v>7074</v>
      </c>
      <c r="V447" t="s">
        <v>7075</v>
      </c>
      <c r="W447" t="s">
        <v>7076</v>
      </c>
      <c r="X447" t="s">
        <v>4757</v>
      </c>
      <c r="Y447" t="s">
        <v>7077</v>
      </c>
      <c r="Z447" t="s">
        <v>7078</v>
      </c>
      <c r="AA447" t="s">
        <v>74</v>
      </c>
      <c r="AB447" t="s">
        <v>7079</v>
      </c>
      <c r="AC447" t="s">
        <v>74</v>
      </c>
      <c r="AD447" t="s">
        <v>74</v>
      </c>
      <c r="AE447" t="s">
        <v>74</v>
      </c>
      <c r="AF447" t="s">
        <v>74</v>
      </c>
      <c r="AG447">
        <v>38</v>
      </c>
      <c r="AH447">
        <v>3</v>
      </c>
      <c r="AI447">
        <v>3</v>
      </c>
      <c r="AJ447">
        <v>0</v>
      </c>
      <c r="AK447">
        <v>1</v>
      </c>
      <c r="AL447" t="s">
        <v>7080</v>
      </c>
      <c r="AM447" t="s">
        <v>7081</v>
      </c>
      <c r="AN447" t="s">
        <v>7082</v>
      </c>
      <c r="AO447" t="s">
        <v>7083</v>
      </c>
      <c r="AP447" t="s">
        <v>74</v>
      </c>
      <c r="AQ447" t="s">
        <v>7084</v>
      </c>
      <c r="AR447" t="s">
        <v>7085</v>
      </c>
      <c r="AS447" t="s">
        <v>74</v>
      </c>
      <c r="AT447" t="s">
        <v>74</v>
      </c>
      <c r="AU447">
        <v>2007</v>
      </c>
      <c r="AV447">
        <v>31</v>
      </c>
      <c r="AW447" t="s">
        <v>74</v>
      </c>
      <c r="AX447" t="s">
        <v>74</v>
      </c>
      <c r="AY447" t="s">
        <v>74</v>
      </c>
      <c r="AZ447" t="s">
        <v>74</v>
      </c>
      <c r="BA447" t="s">
        <v>74</v>
      </c>
      <c r="BB447">
        <v>25</v>
      </c>
      <c r="BC447">
        <v>29</v>
      </c>
      <c r="BD447" t="s">
        <v>74</v>
      </c>
      <c r="BE447" t="s">
        <v>74</v>
      </c>
      <c r="BF447" t="s">
        <v>74</v>
      </c>
      <c r="BG447" t="s">
        <v>74</v>
      </c>
      <c r="BH447" t="s">
        <v>74</v>
      </c>
      <c r="BI447">
        <v>5</v>
      </c>
      <c r="BJ447" t="s">
        <v>801</v>
      </c>
      <c r="BK447" t="s">
        <v>266</v>
      </c>
      <c r="BL447" t="s">
        <v>801</v>
      </c>
      <c r="BM447" t="s">
        <v>7086</v>
      </c>
      <c r="BN447" t="s">
        <v>74</v>
      </c>
      <c r="BO447" t="s">
        <v>74</v>
      </c>
      <c r="BP447" t="s">
        <v>74</v>
      </c>
      <c r="BQ447" t="s">
        <v>74</v>
      </c>
      <c r="BR447" t="s">
        <v>100</v>
      </c>
      <c r="BS447" t="s">
        <v>7087</v>
      </c>
      <c r="BT447" t="str">
        <f>HYPERLINK("https%3A%2F%2Fwww.webofscience.com%2Fwos%2Fwoscc%2Ffull-record%2FWOS:000253414900004","View Full Record in Web of Science")</f>
        <v>View Full Record in Web of Science</v>
      </c>
    </row>
    <row r="448" spans="1:72" x14ac:dyDescent="0.15">
      <c r="A448" t="s">
        <v>241</v>
      </c>
      <c r="B448" t="s">
        <v>7088</v>
      </c>
      <c r="C448" t="s">
        <v>74</v>
      </c>
      <c r="D448" t="s">
        <v>74</v>
      </c>
      <c r="E448" t="s">
        <v>7089</v>
      </c>
      <c r="F448" t="s">
        <v>7090</v>
      </c>
      <c r="G448" t="s">
        <v>74</v>
      </c>
      <c r="H448" t="s">
        <v>74</v>
      </c>
      <c r="I448" t="s">
        <v>7091</v>
      </c>
      <c r="J448" t="s">
        <v>7092</v>
      </c>
      <c r="K448" t="s">
        <v>7093</v>
      </c>
      <c r="L448" t="s">
        <v>74</v>
      </c>
      <c r="M448" t="s">
        <v>78</v>
      </c>
      <c r="N448" t="s">
        <v>248</v>
      </c>
      <c r="O448" t="s">
        <v>7094</v>
      </c>
      <c r="P448" t="s">
        <v>7095</v>
      </c>
      <c r="Q448" t="s">
        <v>7096</v>
      </c>
      <c r="R448" t="s">
        <v>74</v>
      </c>
      <c r="S448" t="s">
        <v>74</v>
      </c>
      <c r="T448" t="s">
        <v>74</v>
      </c>
      <c r="U448" t="s">
        <v>7097</v>
      </c>
      <c r="V448" t="s">
        <v>7098</v>
      </c>
      <c r="W448" t="s">
        <v>7099</v>
      </c>
      <c r="X448" t="s">
        <v>7100</v>
      </c>
      <c r="Y448" t="s">
        <v>7101</v>
      </c>
      <c r="Z448" t="s">
        <v>7102</v>
      </c>
      <c r="AA448" t="s">
        <v>7103</v>
      </c>
      <c r="AB448" t="s">
        <v>74</v>
      </c>
      <c r="AC448" t="s">
        <v>7104</v>
      </c>
      <c r="AD448" t="s">
        <v>7105</v>
      </c>
      <c r="AE448" t="s">
        <v>7106</v>
      </c>
      <c r="AF448" t="s">
        <v>74</v>
      </c>
      <c r="AG448">
        <v>11</v>
      </c>
      <c r="AH448">
        <v>19</v>
      </c>
      <c r="AI448">
        <v>19</v>
      </c>
      <c r="AJ448">
        <v>0</v>
      </c>
      <c r="AK448">
        <v>5</v>
      </c>
      <c r="AL448" t="s">
        <v>7107</v>
      </c>
      <c r="AM448" t="s">
        <v>7108</v>
      </c>
      <c r="AN448" t="s">
        <v>7109</v>
      </c>
      <c r="AO448" t="s">
        <v>7110</v>
      </c>
      <c r="AP448" t="s">
        <v>74</v>
      </c>
      <c r="AQ448" t="s">
        <v>7111</v>
      </c>
      <c r="AR448" t="s">
        <v>7112</v>
      </c>
      <c r="AS448" t="s">
        <v>74</v>
      </c>
      <c r="AT448" t="s">
        <v>74</v>
      </c>
      <c r="AU448">
        <v>2007</v>
      </c>
      <c r="AV448">
        <v>643</v>
      </c>
      <c r="AW448" t="s">
        <v>74</v>
      </c>
      <c r="AX448" t="s">
        <v>74</v>
      </c>
      <c r="AY448" t="s">
        <v>74</v>
      </c>
      <c r="AZ448" t="s">
        <v>74</v>
      </c>
      <c r="BA448" t="s">
        <v>74</v>
      </c>
      <c r="BB448">
        <v>145</v>
      </c>
      <c r="BC448" t="s">
        <v>617</v>
      </c>
      <c r="BD448" t="s">
        <v>74</v>
      </c>
      <c r="BE448" t="s">
        <v>74</v>
      </c>
      <c r="BF448" t="s">
        <v>74</v>
      </c>
      <c r="BG448" t="s">
        <v>74</v>
      </c>
      <c r="BH448" t="s">
        <v>74</v>
      </c>
      <c r="BI448">
        <v>2</v>
      </c>
      <c r="BJ448" t="s">
        <v>801</v>
      </c>
      <c r="BK448" t="s">
        <v>266</v>
      </c>
      <c r="BL448" t="s">
        <v>801</v>
      </c>
      <c r="BM448" t="s">
        <v>7113</v>
      </c>
      <c r="BN448" t="s">
        <v>74</v>
      </c>
      <c r="BO448" t="s">
        <v>74</v>
      </c>
      <c r="BP448" t="s">
        <v>74</v>
      </c>
      <c r="BQ448" t="s">
        <v>74</v>
      </c>
      <c r="BR448" t="s">
        <v>100</v>
      </c>
      <c r="BS448" t="s">
        <v>7114</v>
      </c>
      <c r="BT448" t="str">
        <f>HYPERLINK("https%3A%2F%2Fwww.webofscience.com%2Fwos%2Fwoscc%2Ffull-record%2FWOS:000245892600025","View Full Record in Web of Science")</f>
        <v>View Full Record in Web of Science</v>
      </c>
    </row>
    <row r="449" spans="1:72" x14ac:dyDescent="0.15">
      <c r="A449" t="s">
        <v>72</v>
      </c>
      <c r="B449" t="s">
        <v>7115</v>
      </c>
      <c r="C449" t="s">
        <v>74</v>
      </c>
      <c r="D449" t="s">
        <v>74</v>
      </c>
      <c r="E449" t="s">
        <v>74</v>
      </c>
      <c r="F449" t="s">
        <v>7116</v>
      </c>
      <c r="G449" t="s">
        <v>74</v>
      </c>
      <c r="H449" t="s">
        <v>74</v>
      </c>
      <c r="I449" t="s">
        <v>7117</v>
      </c>
      <c r="J449" t="s">
        <v>7118</v>
      </c>
      <c r="K449" t="s">
        <v>74</v>
      </c>
      <c r="L449" t="s">
        <v>74</v>
      </c>
      <c r="M449" t="s">
        <v>78</v>
      </c>
      <c r="N449" t="s">
        <v>176</v>
      </c>
      <c r="O449" t="s">
        <v>7119</v>
      </c>
      <c r="P449" t="s">
        <v>7120</v>
      </c>
      <c r="Q449" t="s">
        <v>7121</v>
      </c>
      <c r="R449" t="s">
        <v>74</v>
      </c>
      <c r="S449" t="s">
        <v>7122</v>
      </c>
      <c r="T449" t="s">
        <v>7123</v>
      </c>
      <c r="U449" t="s">
        <v>7124</v>
      </c>
      <c r="V449" t="s">
        <v>7125</v>
      </c>
      <c r="W449" t="s">
        <v>7126</v>
      </c>
      <c r="X449" t="s">
        <v>7127</v>
      </c>
      <c r="Y449" t="s">
        <v>7128</v>
      </c>
      <c r="Z449" t="s">
        <v>7129</v>
      </c>
      <c r="AA449" t="s">
        <v>7130</v>
      </c>
      <c r="AB449" t="s">
        <v>7131</v>
      </c>
      <c r="AC449" t="s">
        <v>74</v>
      </c>
      <c r="AD449" t="s">
        <v>74</v>
      </c>
      <c r="AE449" t="s">
        <v>74</v>
      </c>
      <c r="AF449" t="s">
        <v>74</v>
      </c>
      <c r="AG449">
        <v>13</v>
      </c>
      <c r="AH449">
        <v>6</v>
      </c>
      <c r="AI449">
        <v>6</v>
      </c>
      <c r="AJ449">
        <v>0</v>
      </c>
      <c r="AK449">
        <v>2</v>
      </c>
      <c r="AL449" t="s">
        <v>7132</v>
      </c>
      <c r="AM449" t="s">
        <v>2511</v>
      </c>
      <c r="AN449" t="s">
        <v>7133</v>
      </c>
      <c r="AO449" t="s">
        <v>7134</v>
      </c>
      <c r="AP449" t="s">
        <v>74</v>
      </c>
      <c r="AQ449" t="s">
        <v>74</v>
      </c>
      <c r="AR449" t="s">
        <v>7135</v>
      </c>
      <c r="AS449" t="s">
        <v>7136</v>
      </c>
      <c r="AT449" t="s">
        <v>74</v>
      </c>
      <c r="AU449">
        <v>2007</v>
      </c>
      <c r="AV449" t="s">
        <v>74</v>
      </c>
      <c r="AW449" t="s">
        <v>74</v>
      </c>
      <c r="AX449">
        <v>1</v>
      </c>
      <c r="AY449">
        <v>26</v>
      </c>
      <c r="AZ449" t="s">
        <v>74</v>
      </c>
      <c r="BA449" t="s">
        <v>74</v>
      </c>
      <c r="BB449">
        <v>73</v>
      </c>
      <c r="BC449">
        <v>78</v>
      </c>
      <c r="BD449" t="s">
        <v>74</v>
      </c>
      <c r="BE449" t="s">
        <v>74</v>
      </c>
      <c r="BF449" t="s">
        <v>74</v>
      </c>
      <c r="BG449" t="s">
        <v>74</v>
      </c>
      <c r="BH449" t="s">
        <v>74</v>
      </c>
      <c r="BI449">
        <v>6</v>
      </c>
      <c r="BJ449" t="s">
        <v>7137</v>
      </c>
      <c r="BK449" t="s">
        <v>197</v>
      </c>
      <c r="BL449" t="s">
        <v>7137</v>
      </c>
      <c r="BM449" t="s">
        <v>7138</v>
      </c>
      <c r="BN449" t="s">
        <v>74</v>
      </c>
      <c r="BO449" t="s">
        <v>74</v>
      </c>
      <c r="BP449" t="s">
        <v>74</v>
      </c>
      <c r="BQ449" t="s">
        <v>74</v>
      </c>
      <c r="BR449" t="s">
        <v>100</v>
      </c>
      <c r="BS449" t="s">
        <v>7139</v>
      </c>
      <c r="BT449" t="str">
        <f>HYPERLINK("https%3A%2F%2Fwww.webofscience.com%2Fwos%2Fwoscc%2Ffull-record%2FWOS:000258748400012","View Full Record in Web of Science")</f>
        <v>View Full Record in Web of Science</v>
      </c>
    </row>
    <row r="450" spans="1:72" x14ac:dyDescent="0.15">
      <c r="A450" t="s">
        <v>72</v>
      </c>
      <c r="B450" t="s">
        <v>7140</v>
      </c>
      <c r="C450" t="s">
        <v>74</v>
      </c>
      <c r="D450" t="s">
        <v>74</v>
      </c>
      <c r="E450" t="s">
        <v>74</v>
      </c>
      <c r="F450" t="s">
        <v>7141</v>
      </c>
      <c r="G450" t="s">
        <v>74</v>
      </c>
      <c r="H450" t="s">
        <v>74</v>
      </c>
      <c r="I450" t="s">
        <v>7142</v>
      </c>
      <c r="J450" t="s">
        <v>7143</v>
      </c>
      <c r="K450" t="s">
        <v>74</v>
      </c>
      <c r="L450" t="s">
        <v>74</v>
      </c>
      <c r="M450" t="s">
        <v>7144</v>
      </c>
      <c r="N450" t="s">
        <v>79</v>
      </c>
      <c r="O450" t="s">
        <v>74</v>
      </c>
      <c r="P450" t="s">
        <v>74</v>
      </c>
      <c r="Q450" t="s">
        <v>74</v>
      </c>
      <c r="R450" t="s">
        <v>74</v>
      </c>
      <c r="S450" t="s">
        <v>74</v>
      </c>
      <c r="T450" t="s">
        <v>74</v>
      </c>
      <c r="U450" t="s">
        <v>74</v>
      </c>
      <c r="V450" t="s">
        <v>7145</v>
      </c>
      <c r="W450" t="s">
        <v>6636</v>
      </c>
      <c r="X450" t="s">
        <v>6637</v>
      </c>
      <c r="Y450" t="s">
        <v>7146</v>
      </c>
      <c r="Z450" t="s">
        <v>7147</v>
      </c>
      <c r="AA450" t="s">
        <v>7148</v>
      </c>
      <c r="AB450" t="s">
        <v>74</v>
      </c>
      <c r="AC450" t="s">
        <v>74</v>
      </c>
      <c r="AD450" t="s">
        <v>74</v>
      </c>
      <c r="AE450" t="s">
        <v>74</v>
      </c>
      <c r="AF450" t="s">
        <v>74</v>
      </c>
      <c r="AG450">
        <v>26</v>
      </c>
      <c r="AH450">
        <v>2</v>
      </c>
      <c r="AI450">
        <v>4</v>
      </c>
      <c r="AJ450">
        <v>0</v>
      </c>
      <c r="AK450">
        <v>3</v>
      </c>
      <c r="AL450" t="s">
        <v>7149</v>
      </c>
      <c r="AM450" t="s">
        <v>7150</v>
      </c>
      <c r="AN450" t="s">
        <v>7151</v>
      </c>
      <c r="AO450" t="s">
        <v>7152</v>
      </c>
      <c r="AP450" t="s">
        <v>74</v>
      </c>
      <c r="AQ450" t="s">
        <v>74</v>
      </c>
      <c r="AR450" t="s">
        <v>7153</v>
      </c>
      <c r="AS450" t="s">
        <v>7154</v>
      </c>
      <c r="AT450" t="s">
        <v>661</v>
      </c>
      <c r="AU450">
        <v>2007</v>
      </c>
      <c r="AV450">
        <v>86</v>
      </c>
      <c r="AW450">
        <v>1</v>
      </c>
      <c r="AX450" t="s">
        <v>74</v>
      </c>
      <c r="AY450" t="s">
        <v>74</v>
      </c>
      <c r="AZ450" t="s">
        <v>74</v>
      </c>
      <c r="BA450" t="s">
        <v>74</v>
      </c>
      <c r="BB450">
        <v>16</v>
      </c>
      <c r="BC450">
        <v>29</v>
      </c>
      <c r="BD450" t="s">
        <v>74</v>
      </c>
      <c r="BE450" t="s">
        <v>74</v>
      </c>
      <c r="BF450" t="s">
        <v>74</v>
      </c>
      <c r="BG450" t="s">
        <v>74</v>
      </c>
      <c r="BH450" t="s">
        <v>74</v>
      </c>
      <c r="BI450">
        <v>14</v>
      </c>
      <c r="BJ450" t="s">
        <v>596</v>
      </c>
      <c r="BK450" t="s">
        <v>97</v>
      </c>
      <c r="BL450" t="s">
        <v>596</v>
      </c>
      <c r="BM450" t="s">
        <v>7155</v>
      </c>
      <c r="BN450" t="s">
        <v>74</v>
      </c>
      <c r="BO450" t="s">
        <v>74</v>
      </c>
      <c r="BP450" t="s">
        <v>74</v>
      </c>
      <c r="BQ450" t="s">
        <v>74</v>
      </c>
      <c r="BR450" t="s">
        <v>100</v>
      </c>
      <c r="BS450" t="s">
        <v>7156</v>
      </c>
      <c r="BT450" t="str">
        <f>HYPERLINK("https%3A%2F%2Fwww.webofscience.com%2Fwos%2Fwoscc%2Ffull-record%2FWOS:000244893100002","View Full Record in Web of Science")</f>
        <v>View Full Record in Web of Science</v>
      </c>
    </row>
    <row r="451" spans="1:72" x14ac:dyDescent="0.15">
      <c r="A451" t="s">
        <v>72</v>
      </c>
      <c r="B451" t="s">
        <v>7157</v>
      </c>
      <c r="C451" t="s">
        <v>74</v>
      </c>
      <c r="D451" t="s">
        <v>74</v>
      </c>
      <c r="E451" t="s">
        <v>74</v>
      </c>
      <c r="F451" t="s">
        <v>7158</v>
      </c>
      <c r="G451" t="s">
        <v>74</v>
      </c>
      <c r="H451" t="s">
        <v>74</v>
      </c>
      <c r="I451" t="s">
        <v>7159</v>
      </c>
      <c r="J451" t="s">
        <v>7160</v>
      </c>
      <c r="K451" t="s">
        <v>74</v>
      </c>
      <c r="L451" t="s">
        <v>74</v>
      </c>
      <c r="M451" t="s">
        <v>78</v>
      </c>
      <c r="N451" t="s">
        <v>79</v>
      </c>
      <c r="O451" t="s">
        <v>74</v>
      </c>
      <c r="P451" t="s">
        <v>74</v>
      </c>
      <c r="Q451" t="s">
        <v>74</v>
      </c>
      <c r="R451" t="s">
        <v>74</v>
      </c>
      <c r="S451" t="s">
        <v>74</v>
      </c>
      <c r="T451" t="s">
        <v>7161</v>
      </c>
      <c r="U451" t="s">
        <v>7162</v>
      </c>
      <c r="V451" t="s">
        <v>7163</v>
      </c>
      <c r="W451" t="s">
        <v>7164</v>
      </c>
      <c r="X451" t="s">
        <v>7165</v>
      </c>
      <c r="Y451" t="s">
        <v>7166</v>
      </c>
      <c r="Z451" t="s">
        <v>7167</v>
      </c>
      <c r="AA451" t="s">
        <v>74</v>
      </c>
      <c r="AB451" t="s">
        <v>74</v>
      </c>
      <c r="AC451" t="s">
        <v>74</v>
      </c>
      <c r="AD451" t="s">
        <v>74</v>
      </c>
      <c r="AE451" t="s">
        <v>74</v>
      </c>
      <c r="AF451" t="s">
        <v>74</v>
      </c>
      <c r="AG451">
        <v>38</v>
      </c>
      <c r="AH451">
        <v>33</v>
      </c>
      <c r="AI451">
        <v>35</v>
      </c>
      <c r="AJ451">
        <v>0</v>
      </c>
      <c r="AK451">
        <v>25</v>
      </c>
      <c r="AL451" t="s">
        <v>2829</v>
      </c>
      <c r="AM451" t="s">
        <v>903</v>
      </c>
      <c r="AN451" t="s">
        <v>2830</v>
      </c>
      <c r="AO451" t="s">
        <v>7168</v>
      </c>
      <c r="AP451" t="s">
        <v>7169</v>
      </c>
      <c r="AQ451" t="s">
        <v>74</v>
      </c>
      <c r="AR451" t="s">
        <v>7160</v>
      </c>
      <c r="AS451" t="s">
        <v>7170</v>
      </c>
      <c r="AT451" t="s">
        <v>7171</v>
      </c>
      <c r="AU451">
        <v>2006</v>
      </c>
      <c r="AV451">
        <v>137</v>
      </c>
      <c r="AW451" t="s">
        <v>94</v>
      </c>
      <c r="AX451" t="s">
        <v>74</v>
      </c>
      <c r="AY451" t="s">
        <v>74</v>
      </c>
      <c r="AZ451" t="s">
        <v>74</v>
      </c>
      <c r="BA451" t="s">
        <v>74</v>
      </c>
      <c r="BB451">
        <v>109</v>
      </c>
      <c r="BC451">
        <v>116</v>
      </c>
      <c r="BD451" t="s">
        <v>74</v>
      </c>
      <c r="BE451" t="s">
        <v>7172</v>
      </c>
      <c r="BF451" t="str">
        <f>HYPERLINK("http://dx.doi.org/10.1016/j.geoderma.2006.08.028","http://dx.doi.org/10.1016/j.geoderma.2006.08.028")</f>
        <v>http://dx.doi.org/10.1016/j.geoderma.2006.08.028</v>
      </c>
      <c r="BG451" t="s">
        <v>74</v>
      </c>
      <c r="BH451" t="s">
        <v>74</v>
      </c>
      <c r="BI451">
        <v>8</v>
      </c>
      <c r="BJ451" t="s">
        <v>6796</v>
      </c>
      <c r="BK451" t="s">
        <v>97</v>
      </c>
      <c r="BL451" t="s">
        <v>6797</v>
      </c>
      <c r="BM451" t="s">
        <v>7173</v>
      </c>
      <c r="BN451" t="s">
        <v>74</v>
      </c>
      <c r="BO451" t="s">
        <v>74</v>
      </c>
      <c r="BP451" t="s">
        <v>74</v>
      </c>
      <c r="BQ451" t="s">
        <v>74</v>
      </c>
      <c r="BR451" t="s">
        <v>100</v>
      </c>
      <c r="BS451" t="s">
        <v>7174</v>
      </c>
      <c r="BT451" t="str">
        <f>HYPERLINK("https%3A%2F%2Fwww.webofscience.com%2Fwos%2Fwoscc%2Ffull-record%2FWOS:000243601000011","View Full Record in Web of Science")</f>
        <v>View Full Record in Web of Science</v>
      </c>
    </row>
    <row r="452" spans="1:72" x14ac:dyDescent="0.15">
      <c r="A452" t="s">
        <v>72</v>
      </c>
      <c r="B452" t="s">
        <v>7175</v>
      </c>
      <c r="C452" t="s">
        <v>74</v>
      </c>
      <c r="D452" t="s">
        <v>74</v>
      </c>
      <c r="E452" t="s">
        <v>74</v>
      </c>
      <c r="F452" t="s">
        <v>7176</v>
      </c>
      <c r="G452" t="s">
        <v>74</v>
      </c>
      <c r="H452" t="s">
        <v>74</v>
      </c>
      <c r="I452" t="s">
        <v>7177</v>
      </c>
      <c r="J452" t="s">
        <v>7178</v>
      </c>
      <c r="K452" t="s">
        <v>74</v>
      </c>
      <c r="L452" t="s">
        <v>74</v>
      </c>
      <c r="M452" t="s">
        <v>78</v>
      </c>
      <c r="N452" t="s">
        <v>366</v>
      </c>
      <c r="O452" t="s">
        <v>74</v>
      </c>
      <c r="P452" t="s">
        <v>74</v>
      </c>
      <c r="Q452" t="s">
        <v>74</v>
      </c>
      <c r="R452" t="s">
        <v>74</v>
      </c>
      <c r="S452" t="s">
        <v>74</v>
      </c>
      <c r="T452" t="s">
        <v>7179</v>
      </c>
      <c r="U452" t="s">
        <v>7180</v>
      </c>
      <c r="V452" t="s">
        <v>7181</v>
      </c>
      <c r="W452" t="s">
        <v>7182</v>
      </c>
      <c r="X452" t="s">
        <v>6720</v>
      </c>
      <c r="Y452" t="s">
        <v>7183</v>
      </c>
      <c r="Z452" t="s">
        <v>74</v>
      </c>
      <c r="AA452" t="s">
        <v>74</v>
      </c>
      <c r="AB452" t="s">
        <v>74</v>
      </c>
      <c r="AC452" t="s">
        <v>74</v>
      </c>
      <c r="AD452" t="s">
        <v>74</v>
      </c>
      <c r="AE452" t="s">
        <v>74</v>
      </c>
      <c r="AF452" t="s">
        <v>74</v>
      </c>
      <c r="AG452">
        <v>104</v>
      </c>
      <c r="AH452">
        <v>6</v>
      </c>
      <c r="AI452">
        <v>10</v>
      </c>
      <c r="AJ452">
        <v>0</v>
      </c>
      <c r="AK452">
        <v>1</v>
      </c>
      <c r="AL452" t="s">
        <v>7184</v>
      </c>
      <c r="AM452" t="s">
        <v>7185</v>
      </c>
      <c r="AN452" t="s">
        <v>7186</v>
      </c>
      <c r="AO452" t="s">
        <v>7187</v>
      </c>
      <c r="AP452" t="s">
        <v>7188</v>
      </c>
      <c r="AQ452" t="s">
        <v>74</v>
      </c>
      <c r="AR452" t="s">
        <v>7178</v>
      </c>
      <c r="AS452" t="s">
        <v>7189</v>
      </c>
      <c r="AT452" t="s">
        <v>7190</v>
      </c>
      <c r="AU452">
        <v>2006</v>
      </c>
      <c r="AV452">
        <v>43</v>
      </c>
      <c r="AW452">
        <v>4</v>
      </c>
      <c r="AX452" t="s">
        <v>74</v>
      </c>
      <c r="AY452" t="s">
        <v>74</v>
      </c>
      <c r="AZ452" t="s">
        <v>74</v>
      </c>
      <c r="BA452" t="s">
        <v>74</v>
      </c>
      <c r="BB452">
        <v>649</v>
      </c>
      <c r="BC452">
        <v>668</v>
      </c>
      <c r="BD452" t="s">
        <v>74</v>
      </c>
      <c r="BE452" t="s">
        <v>74</v>
      </c>
      <c r="BF452" t="s">
        <v>74</v>
      </c>
      <c r="BG452" t="s">
        <v>74</v>
      </c>
      <c r="BH452" t="s">
        <v>74</v>
      </c>
      <c r="BI452">
        <v>20</v>
      </c>
      <c r="BJ452" t="s">
        <v>4957</v>
      </c>
      <c r="BK452" t="s">
        <v>97</v>
      </c>
      <c r="BL452" t="s">
        <v>4957</v>
      </c>
      <c r="BM452" t="s">
        <v>7191</v>
      </c>
      <c r="BN452" t="s">
        <v>74</v>
      </c>
      <c r="BO452" t="s">
        <v>74</v>
      </c>
      <c r="BP452" t="s">
        <v>74</v>
      </c>
      <c r="BQ452" t="s">
        <v>74</v>
      </c>
      <c r="BR452" t="s">
        <v>100</v>
      </c>
      <c r="BS452" t="s">
        <v>7192</v>
      </c>
      <c r="BT452" t="str">
        <f>HYPERLINK("https%3A%2F%2Fwww.webofscience.com%2Fwos%2Fwoscc%2Ffull-record%2FWOS:000244548900002","View Full Record in Web of Science")</f>
        <v>View Full Record in Web of Science</v>
      </c>
    </row>
    <row r="453" spans="1:72" x14ac:dyDescent="0.15">
      <c r="A453" t="s">
        <v>72</v>
      </c>
      <c r="B453" t="s">
        <v>7193</v>
      </c>
      <c r="C453" t="s">
        <v>74</v>
      </c>
      <c r="D453" t="s">
        <v>74</v>
      </c>
      <c r="E453" t="s">
        <v>74</v>
      </c>
      <c r="F453" t="s">
        <v>7194</v>
      </c>
      <c r="G453" t="s">
        <v>74</v>
      </c>
      <c r="H453" t="s">
        <v>74</v>
      </c>
      <c r="I453" t="s">
        <v>7195</v>
      </c>
      <c r="J453" t="s">
        <v>7196</v>
      </c>
      <c r="K453" t="s">
        <v>74</v>
      </c>
      <c r="L453" t="s">
        <v>74</v>
      </c>
      <c r="M453" t="s">
        <v>78</v>
      </c>
      <c r="N453" t="s">
        <v>176</v>
      </c>
      <c r="O453" t="s">
        <v>7197</v>
      </c>
      <c r="P453" t="s">
        <v>7198</v>
      </c>
      <c r="Q453" t="s">
        <v>7199</v>
      </c>
      <c r="R453" t="s">
        <v>74</v>
      </c>
      <c r="S453" t="s">
        <v>74</v>
      </c>
      <c r="T453" t="s">
        <v>7200</v>
      </c>
      <c r="U453" t="s">
        <v>7201</v>
      </c>
      <c r="V453" t="s">
        <v>7202</v>
      </c>
      <c r="W453" t="s">
        <v>7203</v>
      </c>
      <c r="X453" t="s">
        <v>7204</v>
      </c>
      <c r="Y453" t="s">
        <v>7205</v>
      </c>
      <c r="Z453" t="s">
        <v>7206</v>
      </c>
      <c r="AA453" t="s">
        <v>7207</v>
      </c>
      <c r="AB453" t="s">
        <v>74</v>
      </c>
      <c r="AC453" t="s">
        <v>74</v>
      </c>
      <c r="AD453" t="s">
        <v>74</v>
      </c>
      <c r="AE453" t="s">
        <v>74</v>
      </c>
      <c r="AF453" t="s">
        <v>74</v>
      </c>
      <c r="AG453">
        <v>54</v>
      </c>
      <c r="AH453">
        <v>94</v>
      </c>
      <c r="AI453">
        <v>115</v>
      </c>
      <c r="AJ453">
        <v>2</v>
      </c>
      <c r="AK453">
        <v>45</v>
      </c>
      <c r="AL453" t="s">
        <v>902</v>
      </c>
      <c r="AM453" t="s">
        <v>903</v>
      </c>
      <c r="AN453" t="s">
        <v>5098</v>
      </c>
      <c r="AO453" t="s">
        <v>7208</v>
      </c>
      <c r="AP453" t="s">
        <v>7209</v>
      </c>
      <c r="AQ453" t="s">
        <v>74</v>
      </c>
      <c r="AR453" t="s">
        <v>7196</v>
      </c>
      <c r="AS453" t="s">
        <v>7210</v>
      </c>
      <c r="AT453" t="s">
        <v>7190</v>
      </c>
      <c r="AU453">
        <v>2006</v>
      </c>
      <c r="AV453">
        <v>385</v>
      </c>
      <c r="AW453" t="s">
        <v>74</v>
      </c>
      <c r="AX453" t="s">
        <v>74</v>
      </c>
      <c r="AY453" t="s">
        <v>74</v>
      </c>
      <c r="AZ453" t="s">
        <v>74</v>
      </c>
      <c r="BA453" t="s">
        <v>74</v>
      </c>
      <c r="BB453">
        <v>111</v>
      </c>
      <c r="BC453">
        <v>121</v>
      </c>
      <c r="BD453" t="s">
        <v>74</v>
      </c>
      <c r="BE453" t="s">
        <v>7211</v>
      </c>
      <c r="BF453" t="str">
        <f>HYPERLINK("http://dx.doi.org/10.1016/j.gene.2006.05.031","http://dx.doi.org/10.1016/j.gene.2006.05.031")</f>
        <v>http://dx.doi.org/10.1016/j.gene.2006.05.031</v>
      </c>
      <c r="BG453" t="s">
        <v>74</v>
      </c>
      <c r="BH453" t="s">
        <v>74</v>
      </c>
      <c r="BI453">
        <v>11</v>
      </c>
      <c r="BJ453" t="s">
        <v>7212</v>
      </c>
      <c r="BK453" t="s">
        <v>197</v>
      </c>
      <c r="BL453" t="s">
        <v>7212</v>
      </c>
      <c r="BM453" t="s">
        <v>7213</v>
      </c>
      <c r="BN453">
        <v>17067764</v>
      </c>
      <c r="BO453" t="s">
        <v>74</v>
      </c>
      <c r="BP453" t="s">
        <v>74</v>
      </c>
      <c r="BQ453" t="s">
        <v>74</v>
      </c>
      <c r="BR453" t="s">
        <v>100</v>
      </c>
      <c r="BS453" t="s">
        <v>7214</v>
      </c>
      <c r="BT453" t="str">
        <f>HYPERLINK("https%3A%2F%2Fwww.webofscience.com%2Fwos%2Fwoscc%2Ffull-record%2FWOS:000243208400015","View Full Record in Web of Science")</f>
        <v>View Full Record in Web of Science</v>
      </c>
    </row>
    <row r="454" spans="1:72" x14ac:dyDescent="0.15">
      <c r="A454" t="s">
        <v>72</v>
      </c>
      <c r="B454" t="s">
        <v>7215</v>
      </c>
      <c r="C454" t="s">
        <v>74</v>
      </c>
      <c r="D454" t="s">
        <v>74</v>
      </c>
      <c r="E454" t="s">
        <v>74</v>
      </c>
      <c r="F454" t="s">
        <v>7216</v>
      </c>
      <c r="G454" t="s">
        <v>74</v>
      </c>
      <c r="H454" t="s">
        <v>74</v>
      </c>
      <c r="I454" t="s">
        <v>7217</v>
      </c>
      <c r="J454" t="s">
        <v>7196</v>
      </c>
      <c r="K454" t="s">
        <v>74</v>
      </c>
      <c r="L454" t="s">
        <v>74</v>
      </c>
      <c r="M454" t="s">
        <v>78</v>
      </c>
      <c r="N454" t="s">
        <v>176</v>
      </c>
      <c r="O454" t="s">
        <v>7197</v>
      </c>
      <c r="P454" t="s">
        <v>7198</v>
      </c>
      <c r="Q454" t="s">
        <v>7199</v>
      </c>
      <c r="R454" t="s">
        <v>74</v>
      </c>
      <c r="S454" t="s">
        <v>74</v>
      </c>
      <c r="T454" t="s">
        <v>7218</v>
      </c>
      <c r="U454" t="s">
        <v>7219</v>
      </c>
      <c r="V454" t="s">
        <v>7220</v>
      </c>
      <c r="W454" t="s">
        <v>7221</v>
      </c>
      <c r="X454" t="s">
        <v>7222</v>
      </c>
      <c r="Y454" t="s">
        <v>7223</v>
      </c>
      <c r="Z454" t="s">
        <v>7224</v>
      </c>
      <c r="AA454" t="s">
        <v>74</v>
      </c>
      <c r="AB454" t="s">
        <v>7225</v>
      </c>
      <c r="AC454" t="s">
        <v>74</v>
      </c>
      <c r="AD454" t="s">
        <v>74</v>
      </c>
      <c r="AE454" t="s">
        <v>74</v>
      </c>
      <c r="AF454" t="s">
        <v>74</v>
      </c>
      <c r="AG454">
        <v>54</v>
      </c>
      <c r="AH454">
        <v>37</v>
      </c>
      <c r="AI454">
        <v>43</v>
      </c>
      <c r="AJ454">
        <v>6</v>
      </c>
      <c r="AK454">
        <v>68</v>
      </c>
      <c r="AL454" t="s">
        <v>902</v>
      </c>
      <c r="AM454" t="s">
        <v>903</v>
      </c>
      <c r="AN454" t="s">
        <v>5098</v>
      </c>
      <c r="AO454" t="s">
        <v>7208</v>
      </c>
      <c r="AP454" t="s">
        <v>74</v>
      </c>
      <c r="AQ454" t="s">
        <v>74</v>
      </c>
      <c r="AR454" t="s">
        <v>7196</v>
      </c>
      <c r="AS454" t="s">
        <v>7210</v>
      </c>
      <c r="AT454" t="s">
        <v>7190</v>
      </c>
      <c r="AU454">
        <v>2006</v>
      </c>
      <c r="AV454">
        <v>385</v>
      </c>
      <c r="AW454" t="s">
        <v>74</v>
      </c>
      <c r="AX454" t="s">
        <v>74</v>
      </c>
      <c r="AY454" t="s">
        <v>74</v>
      </c>
      <c r="AZ454" t="s">
        <v>74</v>
      </c>
      <c r="BA454" t="s">
        <v>74</v>
      </c>
      <c r="BB454">
        <v>137</v>
      </c>
      <c r="BC454">
        <v>145</v>
      </c>
      <c r="BD454" t="s">
        <v>74</v>
      </c>
      <c r="BE454" t="s">
        <v>7226</v>
      </c>
      <c r="BF454" t="str">
        <f>HYPERLINK("http://dx.doi.org/10.1016/j.gene.2006.04.006","http://dx.doi.org/10.1016/j.gene.2006.04.006")</f>
        <v>http://dx.doi.org/10.1016/j.gene.2006.04.006</v>
      </c>
      <c r="BG454" t="s">
        <v>74</v>
      </c>
      <c r="BH454" t="s">
        <v>74</v>
      </c>
      <c r="BI454">
        <v>9</v>
      </c>
      <c r="BJ454" t="s">
        <v>7212</v>
      </c>
      <c r="BK454" t="s">
        <v>1847</v>
      </c>
      <c r="BL454" t="s">
        <v>7212</v>
      </c>
      <c r="BM454" t="s">
        <v>7213</v>
      </c>
      <c r="BN454">
        <v>16757135</v>
      </c>
      <c r="BO454" t="s">
        <v>74</v>
      </c>
      <c r="BP454" t="s">
        <v>74</v>
      </c>
      <c r="BQ454" t="s">
        <v>74</v>
      </c>
      <c r="BR454" t="s">
        <v>100</v>
      </c>
      <c r="BS454" t="s">
        <v>7227</v>
      </c>
      <c r="BT454" t="str">
        <f>HYPERLINK("https%3A%2F%2Fwww.webofscience.com%2Fwos%2Fwoscc%2Ffull-record%2FWOS:000243208400018","View Full Record in Web of Science")</f>
        <v>View Full Record in Web of Science</v>
      </c>
    </row>
    <row r="455" spans="1:72" x14ac:dyDescent="0.15">
      <c r="A455" t="s">
        <v>72</v>
      </c>
      <c r="B455" t="s">
        <v>7228</v>
      </c>
      <c r="C455" t="s">
        <v>74</v>
      </c>
      <c r="D455" t="s">
        <v>74</v>
      </c>
      <c r="E455" t="s">
        <v>74</v>
      </c>
      <c r="F455" t="s">
        <v>7229</v>
      </c>
      <c r="G455" t="s">
        <v>74</v>
      </c>
      <c r="H455" t="s">
        <v>74</v>
      </c>
      <c r="I455" t="s">
        <v>7230</v>
      </c>
      <c r="J455" t="s">
        <v>7231</v>
      </c>
      <c r="K455" t="s">
        <v>74</v>
      </c>
      <c r="L455" t="s">
        <v>74</v>
      </c>
      <c r="M455" t="s">
        <v>78</v>
      </c>
      <c r="N455" t="s">
        <v>79</v>
      </c>
      <c r="O455" t="s">
        <v>74</v>
      </c>
      <c r="P455" t="s">
        <v>74</v>
      </c>
      <c r="Q455" t="s">
        <v>74</v>
      </c>
      <c r="R455" t="s">
        <v>74</v>
      </c>
      <c r="S455" t="s">
        <v>74</v>
      </c>
      <c r="T455" t="s">
        <v>7232</v>
      </c>
      <c r="U455" t="s">
        <v>7233</v>
      </c>
      <c r="V455" t="s">
        <v>7234</v>
      </c>
      <c r="W455" t="s">
        <v>7235</v>
      </c>
      <c r="X455" t="s">
        <v>7236</v>
      </c>
      <c r="Y455" t="s">
        <v>7237</v>
      </c>
      <c r="Z455" t="s">
        <v>7238</v>
      </c>
      <c r="AA455" t="s">
        <v>74</v>
      </c>
      <c r="AB455" t="s">
        <v>74</v>
      </c>
      <c r="AC455" t="s">
        <v>74</v>
      </c>
      <c r="AD455" t="s">
        <v>74</v>
      </c>
      <c r="AE455" t="s">
        <v>74</v>
      </c>
      <c r="AF455" t="s">
        <v>74</v>
      </c>
      <c r="AG455">
        <v>64</v>
      </c>
      <c r="AH455">
        <v>17</v>
      </c>
      <c r="AI455">
        <v>20</v>
      </c>
      <c r="AJ455">
        <v>0</v>
      </c>
      <c r="AK455">
        <v>10</v>
      </c>
      <c r="AL455" t="s">
        <v>7239</v>
      </c>
      <c r="AM455" t="s">
        <v>5498</v>
      </c>
      <c r="AN455" t="s">
        <v>7240</v>
      </c>
      <c r="AO455" t="s">
        <v>74</v>
      </c>
      <c r="AP455" t="s">
        <v>7241</v>
      </c>
      <c r="AQ455" t="s">
        <v>74</v>
      </c>
      <c r="AR455" t="s">
        <v>7242</v>
      </c>
      <c r="AS455" t="s">
        <v>7243</v>
      </c>
      <c r="AT455" t="s">
        <v>7190</v>
      </c>
      <c r="AU455">
        <v>2006</v>
      </c>
      <c r="AV455">
        <v>7</v>
      </c>
      <c r="AW455" t="s">
        <v>74</v>
      </c>
      <c r="AX455" t="s">
        <v>74</v>
      </c>
      <c r="AY455" t="s">
        <v>74</v>
      </c>
      <c r="AZ455" t="s">
        <v>74</v>
      </c>
      <c r="BA455" t="s">
        <v>74</v>
      </c>
      <c r="BB455" t="s">
        <v>74</v>
      </c>
      <c r="BC455" t="s">
        <v>74</v>
      </c>
      <c r="BD455" t="s">
        <v>7244</v>
      </c>
      <c r="BE455" t="s">
        <v>7245</v>
      </c>
      <c r="BF455" t="str">
        <f>HYPERLINK("http://dx.doi.org/10.1029/2006GC001294","http://dx.doi.org/10.1029/2006GC001294")</f>
        <v>http://dx.doi.org/10.1029/2006GC001294</v>
      </c>
      <c r="BG455" t="s">
        <v>74</v>
      </c>
      <c r="BH455" t="s">
        <v>74</v>
      </c>
      <c r="BI455">
        <v>23</v>
      </c>
      <c r="BJ455" t="s">
        <v>865</v>
      </c>
      <c r="BK455" t="s">
        <v>97</v>
      </c>
      <c r="BL455" t="s">
        <v>865</v>
      </c>
      <c r="BM455" t="s">
        <v>7246</v>
      </c>
      <c r="BN455" t="s">
        <v>74</v>
      </c>
      <c r="BO455" t="s">
        <v>3809</v>
      </c>
      <c r="BP455" t="s">
        <v>74</v>
      </c>
      <c r="BQ455" t="s">
        <v>74</v>
      </c>
      <c r="BR455" t="s">
        <v>100</v>
      </c>
      <c r="BS455" t="s">
        <v>7247</v>
      </c>
      <c r="BT455" t="str">
        <f>HYPERLINK("https%3A%2F%2Fwww.webofscience.com%2Fwos%2Fwoscc%2Ffull-record%2FWOS:000243343200001","View Full Record in Web of Science")</f>
        <v>View Full Record in Web of Science</v>
      </c>
    </row>
    <row r="456" spans="1:72" x14ac:dyDescent="0.15">
      <c r="A456" t="s">
        <v>72</v>
      </c>
      <c r="B456" t="s">
        <v>7248</v>
      </c>
      <c r="C456" t="s">
        <v>74</v>
      </c>
      <c r="D456" t="s">
        <v>74</v>
      </c>
      <c r="E456" t="s">
        <v>74</v>
      </c>
      <c r="F456" t="s">
        <v>7249</v>
      </c>
      <c r="G456" t="s">
        <v>74</v>
      </c>
      <c r="H456" t="s">
        <v>74</v>
      </c>
      <c r="I456" t="s">
        <v>7250</v>
      </c>
      <c r="J456" t="s">
        <v>7251</v>
      </c>
      <c r="K456" t="s">
        <v>74</v>
      </c>
      <c r="L456" t="s">
        <v>74</v>
      </c>
      <c r="M456" t="s">
        <v>78</v>
      </c>
      <c r="N456" t="s">
        <v>79</v>
      </c>
      <c r="O456" t="s">
        <v>74</v>
      </c>
      <c r="P456" t="s">
        <v>74</v>
      </c>
      <c r="Q456" t="s">
        <v>74</v>
      </c>
      <c r="R456" t="s">
        <v>74</v>
      </c>
      <c r="S456" t="s">
        <v>74</v>
      </c>
      <c r="T456" t="s">
        <v>74</v>
      </c>
      <c r="U456" t="s">
        <v>7252</v>
      </c>
      <c r="V456" t="s">
        <v>7253</v>
      </c>
      <c r="W456" t="s">
        <v>7254</v>
      </c>
      <c r="X456" t="s">
        <v>917</v>
      </c>
      <c r="Y456" t="s">
        <v>7255</v>
      </c>
      <c r="Z456" t="s">
        <v>7256</v>
      </c>
      <c r="AA456" t="s">
        <v>6294</v>
      </c>
      <c r="AB456" t="s">
        <v>6295</v>
      </c>
      <c r="AC456" t="s">
        <v>74</v>
      </c>
      <c r="AD456" t="s">
        <v>74</v>
      </c>
      <c r="AE456" t="s">
        <v>74</v>
      </c>
      <c r="AF456" t="s">
        <v>74</v>
      </c>
      <c r="AG456">
        <v>34</v>
      </c>
      <c r="AH456">
        <v>48</v>
      </c>
      <c r="AI456">
        <v>51</v>
      </c>
      <c r="AJ456">
        <v>1</v>
      </c>
      <c r="AK456">
        <v>19</v>
      </c>
      <c r="AL456" t="s">
        <v>7239</v>
      </c>
      <c r="AM456" t="s">
        <v>5498</v>
      </c>
      <c r="AN456" t="s">
        <v>7240</v>
      </c>
      <c r="AO456" t="s">
        <v>7257</v>
      </c>
      <c r="AP456" t="s">
        <v>74</v>
      </c>
      <c r="AQ456" t="s">
        <v>74</v>
      </c>
      <c r="AR456" t="s">
        <v>7258</v>
      </c>
      <c r="AS456" t="s">
        <v>7259</v>
      </c>
      <c r="AT456" t="s">
        <v>7190</v>
      </c>
      <c r="AU456">
        <v>2006</v>
      </c>
      <c r="AV456">
        <v>33</v>
      </c>
      <c r="AW456">
        <v>24</v>
      </c>
      <c r="AX456" t="s">
        <v>74</v>
      </c>
      <c r="AY456" t="s">
        <v>74</v>
      </c>
      <c r="AZ456" t="s">
        <v>74</v>
      </c>
      <c r="BA456" t="s">
        <v>74</v>
      </c>
      <c r="BB456" t="s">
        <v>74</v>
      </c>
      <c r="BC456" t="s">
        <v>74</v>
      </c>
      <c r="BD456" t="s">
        <v>7260</v>
      </c>
      <c r="BE456" t="s">
        <v>7261</v>
      </c>
      <c r="BF456" t="str">
        <f>HYPERLINK("http://dx.doi.org/10.1029/2006GL027097","http://dx.doi.org/10.1029/2006GL027097")</f>
        <v>http://dx.doi.org/10.1029/2006GL027097</v>
      </c>
      <c r="BG456" t="s">
        <v>74</v>
      </c>
      <c r="BH456" t="s">
        <v>74</v>
      </c>
      <c r="BI456">
        <v>5</v>
      </c>
      <c r="BJ456" t="s">
        <v>685</v>
      </c>
      <c r="BK456" t="s">
        <v>97</v>
      </c>
      <c r="BL456" t="s">
        <v>642</v>
      </c>
      <c r="BM456" t="s">
        <v>7262</v>
      </c>
      <c r="BN456" t="s">
        <v>74</v>
      </c>
      <c r="BO456" t="s">
        <v>124</v>
      </c>
      <c r="BP456" t="s">
        <v>74</v>
      </c>
      <c r="BQ456" t="s">
        <v>74</v>
      </c>
      <c r="BR456" t="s">
        <v>100</v>
      </c>
      <c r="BS456" t="s">
        <v>7263</v>
      </c>
      <c r="BT456" t="str">
        <f>HYPERLINK("https%3A%2F%2Fwww.webofscience.com%2Fwos%2Fwoscc%2Ffull-record%2FWOS:000243344000001","View Full Record in Web of Science")</f>
        <v>View Full Record in Web of Science</v>
      </c>
    </row>
    <row r="457" spans="1:72" x14ac:dyDescent="0.15">
      <c r="A457" t="s">
        <v>72</v>
      </c>
      <c r="B457" t="s">
        <v>7264</v>
      </c>
      <c r="C457" t="s">
        <v>74</v>
      </c>
      <c r="D457" t="s">
        <v>74</v>
      </c>
      <c r="E457" t="s">
        <v>74</v>
      </c>
      <c r="F457" t="s">
        <v>7265</v>
      </c>
      <c r="G457" t="s">
        <v>74</v>
      </c>
      <c r="H457" t="s">
        <v>74</v>
      </c>
      <c r="I457" t="s">
        <v>7266</v>
      </c>
      <c r="J457" t="s">
        <v>7267</v>
      </c>
      <c r="K457" t="s">
        <v>74</v>
      </c>
      <c r="L457" t="s">
        <v>74</v>
      </c>
      <c r="M457" t="s">
        <v>78</v>
      </c>
      <c r="N457" t="s">
        <v>79</v>
      </c>
      <c r="O457" t="s">
        <v>74</v>
      </c>
      <c r="P457" t="s">
        <v>74</v>
      </c>
      <c r="Q457" t="s">
        <v>74</v>
      </c>
      <c r="R457" t="s">
        <v>74</v>
      </c>
      <c r="S457" t="s">
        <v>74</v>
      </c>
      <c r="T457" t="s">
        <v>7268</v>
      </c>
      <c r="U457" t="s">
        <v>7269</v>
      </c>
      <c r="V457" t="s">
        <v>7270</v>
      </c>
      <c r="W457" t="s">
        <v>7271</v>
      </c>
      <c r="X457" t="s">
        <v>7272</v>
      </c>
      <c r="Y457" t="s">
        <v>7273</v>
      </c>
      <c r="Z457" t="s">
        <v>7274</v>
      </c>
      <c r="AA457" t="s">
        <v>7275</v>
      </c>
      <c r="AB457" t="s">
        <v>74</v>
      </c>
      <c r="AC457" t="s">
        <v>74</v>
      </c>
      <c r="AD457" t="s">
        <v>74</v>
      </c>
      <c r="AE457" t="s">
        <v>74</v>
      </c>
      <c r="AF457" t="s">
        <v>74</v>
      </c>
      <c r="AG457">
        <v>50</v>
      </c>
      <c r="AH457">
        <v>96</v>
      </c>
      <c r="AI457">
        <v>106</v>
      </c>
      <c r="AJ457">
        <v>0</v>
      </c>
      <c r="AK457">
        <v>21</v>
      </c>
      <c r="AL457" t="s">
        <v>838</v>
      </c>
      <c r="AM457" t="s">
        <v>678</v>
      </c>
      <c r="AN457" t="s">
        <v>839</v>
      </c>
      <c r="AO457" t="s">
        <v>7276</v>
      </c>
      <c r="AP457" t="s">
        <v>74</v>
      </c>
      <c r="AQ457" t="s">
        <v>74</v>
      </c>
      <c r="AR457" t="s">
        <v>7277</v>
      </c>
      <c r="AS457" t="s">
        <v>7278</v>
      </c>
      <c r="AT457" t="s">
        <v>7190</v>
      </c>
      <c r="AU457">
        <v>2006</v>
      </c>
      <c r="AV457">
        <v>105</v>
      </c>
      <c r="AW457">
        <v>4</v>
      </c>
      <c r="AX457" t="s">
        <v>74</v>
      </c>
      <c r="AY457" t="s">
        <v>74</v>
      </c>
      <c r="AZ457" t="s">
        <v>74</v>
      </c>
      <c r="BA457" t="s">
        <v>74</v>
      </c>
      <c r="BB457">
        <v>367</v>
      </c>
      <c r="BC457">
        <v>375</v>
      </c>
      <c r="BD457" t="s">
        <v>74</v>
      </c>
      <c r="BE457" t="s">
        <v>7279</v>
      </c>
      <c r="BF457" t="str">
        <f>HYPERLINK("http://dx.doi.org/10.1016/j.rse.2006.07.008","http://dx.doi.org/10.1016/j.rse.2006.07.008")</f>
        <v>http://dx.doi.org/10.1016/j.rse.2006.07.008</v>
      </c>
      <c r="BG457" t="s">
        <v>74</v>
      </c>
      <c r="BH457" t="s">
        <v>74</v>
      </c>
      <c r="BI457">
        <v>9</v>
      </c>
      <c r="BJ457" t="s">
        <v>7280</v>
      </c>
      <c r="BK457" t="s">
        <v>97</v>
      </c>
      <c r="BL457" t="s">
        <v>7281</v>
      </c>
      <c r="BM457" t="s">
        <v>7282</v>
      </c>
      <c r="BN457" t="s">
        <v>74</v>
      </c>
      <c r="BO457" t="s">
        <v>74</v>
      </c>
      <c r="BP457" t="s">
        <v>74</v>
      </c>
      <c r="BQ457" t="s">
        <v>74</v>
      </c>
      <c r="BR457" t="s">
        <v>100</v>
      </c>
      <c r="BS457" t="s">
        <v>7283</v>
      </c>
      <c r="BT457" t="str">
        <f>HYPERLINK("https%3A%2F%2Fwww.webofscience.com%2Fwos%2Fwoscc%2Ffull-record%2FWOS:000242699200008","View Full Record in Web of Science")</f>
        <v>View Full Record in Web of Science</v>
      </c>
    </row>
    <row r="458" spans="1:72" x14ac:dyDescent="0.15">
      <c r="A458" t="s">
        <v>72</v>
      </c>
      <c r="B458" t="s">
        <v>7284</v>
      </c>
      <c r="C458" t="s">
        <v>74</v>
      </c>
      <c r="D458" t="s">
        <v>74</v>
      </c>
      <c r="E458" t="s">
        <v>74</v>
      </c>
      <c r="F458" t="s">
        <v>7285</v>
      </c>
      <c r="G458" t="s">
        <v>74</v>
      </c>
      <c r="H458" t="s">
        <v>74</v>
      </c>
      <c r="I458" t="s">
        <v>7286</v>
      </c>
      <c r="J458" t="s">
        <v>7287</v>
      </c>
      <c r="K458" t="s">
        <v>74</v>
      </c>
      <c r="L458" t="s">
        <v>74</v>
      </c>
      <c r="M458" t="s">
        <v>78</v>
      </c>
      <c r="N458" t="s">
        <v>79</v>
      </c>
      <c r="O458" t="s">
        <v>74</v>
      </c>
      <c r="P458" t="s">
        <v>74</v>
      </c>
      <c r="Q458" t="s">
        <v>74</v>
      </c>
      <c r="R458" t="s">
        <v>74</v>
      </c>
      <c r="S458" t="s">
        <v>74</v>
      </c>
      <c r="T458" t="s">
        <v>74</v>
      </c>
      <c r="U458" t="s">
        <v>7288</v>
      </c>
      <c r="V458" t="s">
        <v>7289</v>
      </c>
      <c r="W458" t="s">
        <v>7290</v>
      </c>
      <c r="X458" t="s">
        <v>7291</v>
      </c>
      <c r="Y458" t="s">
        <v>7292</v>
      </c>
      <c r="Z458" t="s">
        <v>7293</v>
      </c>
      <c r="AA458" t="s">
        <v>7294</v>
      </c>
      <c r="AB458" t="s">
        <v>7295</v>
      </c>
      <c r="AC458" t="s">
        <v>74</v>
      </c>
      <c r="AD458" t="s">
        <v>74</v>
      </c>
      <c r="AE458" t="s">
        <v>74</v>
      </c>
      <c r="AF458" t="s">
        <v>74</v>
      </c>
      <c r="AG458">
        <v>33</v>
      </c>
      <c r="AH458">
        <v>13</v>
      </c>
      <c r="AI458">
        <v>14</v>
      </c>
      <c r="AJ458">
        <v>1</v>
      </c>
      <c r="AK458">
        <v>11</v>
      </c>
      <c r="AL458" t="s">
        <v>7239</v>
      </c>
      <c r="AM458" t="s">
        <v>5498</v>
      </c>
      <c r="AN458" t="s">
        <v>7240</v>
      </c>
      <c r="AO458" t="s">
        <v>7296</v>
      </c>
      <c r="AP458" t="s">
        <v>7297</v>
      </c>
      <c r="AQ458" t="s">
        <v>74</v>
      </c>
      <c r="AR458" t="s">
        <v>7298</v>
      </c>
      <c r="AS458" t="s">
        <v>7299</v>
      </c>
      <c r="AT458" t="s">
        <v>7300</v>
      </c>
      <c r="AU458">
        <v>2006</v>
      </c>
      <c r="AV458">
        <v>111</v>
      </c>
      <c r="AW458" t="s">
        <v>7301</v>
      </c>
      <c r="AX458" t="s">
        <v>74</v>
      </c>
      <c r="AY458" t="s">
        <v>74</v>
      </c>
      <c r="AZ458" t="s">
        <v>74</v>
      </c>
      <c r="BA458" t="s">
        <v>74</v>
      </c>
      <c r="BB458" t="s">
        <v>74</v>
      </c>
      <c r="BC458" t="s">
        <v>74</v>
      </c>
      <c r="BD458" t="s">
        <v>7302</v>
      </c>
      <c r="BE458" t="s">
        <v>7303</v>
      </c>
      <c r="BF458" t="str">
        <f>HYPERLINK("http://dx.doi.org/10.1029/2005JC003052","http://dx.doi.org/10.1029/2005JC003052")</f>
        <v>http://dx.doi.org/10.1029/2005JC003052</v>
      </c>
      <c r="BG458" t="s">
        <v>74</v>
      </c>
      <c r="BH458" t="s">
        <v>74</v>
      </c>
      <c r="BI458">
        <v>12</v>
      </c>
      <c r="BJ458" t="s">
        <v>1260</v>
      </c>
      <c r="BK458" t="s">
        <v>97</v>
      </c>
      <c r="BL458" t="s">
        <v>1260</v>
      </c>
      <c r="BM458" t="s">
        <v>7304</v>
      </c>
      <c r="BN458" t="s">
        <v>74</v>
      </c>
      <c r="BO458" t="s">
        <v>74</v>
      </c>
      <c r="BP458" t="s">
        <v>74</v>
      </c>
      <c r="BQ458" t="s">
        <v>74</v>
      </c>
      <c r="BR458" t="s">
        <v>100</v>
      </c>
      <c r="BS458" t="s">
        <v>7305</v>
      </c>
      <c r="BT458" t="str">
        <f>HYPERLINK("https%3A%2F%2Fwww.webofscience.com%2Fwos%2Fwoscc%2Ffull-record%2FWOS:000243345700002","View Full Record in Web of Science")</f>
        <v>View Full Record in Web of Science</v>
      </c>
    </row>
    <row r="459" spans="1:72" x14ac:dyDescent="0.15">
      <c r="A459" t="s">
        <v>72</v>
      </c>
      <c r="B459" t="s">
        <v>7306</v>
      </c>
      <c r="C459" t="s">
        <v>74</v>
      </c>
      <c r="D459" t="s">
        <v>74</v>
      </c>
      <c r="E459" t="s">
        <v>74</v>
      </c>
      <c r="F459" t="s">
        <v>7307</v>
      </c>
      <c r="G459" t="s">
        <v>74</v>
      </c>
      <c r="H459" t="s">
        <v>74</v>
      </c>
      <c r="I459" t="s">
        <v>7308</v>
      </c>
      <c r="J459" t="s">
        <v>7287</v>
      </c>
      <c r="K459" t="s">
        <v>74</v>
      </c>
      <c r="L459" t="s">
        <v>74</v>
      </c>
      <c r="M459" t="s">
        <v>78</v>
      </c>
      <c r="N459" t="s">
        <v>79</v>
      </c>
      <c r="O459" t="s">
        <v>74</v>
      </c>
      <c r="P459" t="s">
        <v>74</v>
      </c>
      <c r="Q459" t="s">
        <v>74</v>
      </c>
      <c r="R459" t="s">
        <v>74</v>
      </c>
      <c r="S459" t="s">
        <v>74</v>
      </c>
      <c r="T459" t="s">
        <v>74</v>
      </c>
      <c r="U459" t="s">
        <v>7309</v>
      </c>
      <c r="V459" t="s">
        <v>7310</v>
      </c>
      <c r="W459" t="s">
        <v>7311</v>
      </c>
      <c r="X459" t="s">
        <v>7312</v>
      </c>
      <c r="Y459" t="s">
        <v>7313</v>
      </c>
      <c r="Z459" t="s">
        <v>7314</v>
      </c>
      <c r="AA459" t="s">
        <v>7315</v>
      </c>
      <c r="AB459" t="s">
        <v>7316</v>
      </c>
      <c r="AC459" t="s">
        <v>74</v>
      </c>
      <c r="AD459" t="s">
        <v>74</v>
      </c>
      <c r="AE459" t="s">
        <v>74</v>
      </c>
      <c r="AF459" t="s">
        <v>74</v>
      </c>
      <c r="AG459">
        <v>20</v>
      </c>
      <c r="AH459">
        <v>1</v>
      </c>
      <c r="AI459">
        <v>1</v>
      </c>
      <c r="AJ459">
        <v>1</v>
      </c>
      <c r="AK459">
        <v>4</v>
      </c>
      <c r="AL459" t="s">
        <v>7239</v>
      </c>
      <c r="AM459" t="s">
        <v>5498</v>
      </c>
      <c r="AN459" t="s">
        <v>7240</v>
      </c>
      <c r="AO459" t="s">
        <v>7296</v>
      </c>
      <c r="AP459" t="s">
        <v>7297</v>
      </c>
      <c r="AQ459" t="s">
        <v>74</v>
      </c>
      <c r="AR459" t="s">
        <v>7298</v>
      </c>
      <c r="AS459" t="s">
        <v>7299</v>
      </c>
      <c r="AT459" t="s">
        <v>7300</v>
      </c>
      <c r="AU459">
        <v>2006</v>
      </c>
      <c r="AV459">
        <v>111</v>
      </c>
      <c r="AW459" t="s">
        <v>7301</v>
      </c>
      <c r="AX459" t="s">
        <v>74</v>
      </c>
      <c r="AY459" t="s">
        <v>74</v>
      </c>
      <c r="AZ459" t="s">
        <v>74</v>
      </c>
      <c r="BA459" t="s">
        <v>74</v>
      </c>
      <c r="BB459" t="s">
        <v>74</v>
      </c>
      <c r="BC459" t="s">
        <v>74</v>
      </c>
      <c r="BD459" t="s">
        <v>7317</v>
      </c>
      <c r="BE459" t="s">
        <v>7318</v>
      </c>
      <c r="BF459" t="str">
        <f>HYPERLINK("http://dx.doi.org/10.1029/2005JC003014","http://dx.doi.org/10.1029/2005JC003014")</f>
        <v>http://dx.doi.org/10.1029/2005JC003014</v>
      </c>
      <c r="BG459" t="s">
        <v>74</v>
      </c>
      <c r="BH459" t="s">
        <v>74</v>
      </c>
      <c r="BI459">
        <v>14</v>
      </c>
      <c r="BJ459" t="s">
        <v>1260</v>
      </c>
      <c r="BK459" t="s">
        <v>97</v>
      </c>
      <c r="BL459" t="s">
        <v>1260</v>
      </c>
      <c r="BM459" t="s">
        <v>7304</v>
      </c>
      <c r="BN459" t="s">
        <v>74</v>
      </c>
      <c r="BO459" t="s">
        <v>7319</v>
      </c>
      <c r="BP459" t="s">
        <v>74</v>
      </c>
      <c r="BQ459" t="s">
        <v>74</v>
      </c>
      <c r="BR459" t="s">
        <v>100</v>
      </c>
      <c r="BS459" t="s">
        <v>7320</v>
      </c>
      <c r="BT459" t="str">
        <f>HYPERLINK("https%3A%2F%2Fwww.webofscience.com%2Fwos%2Fwoscc%2Ffull-record%2FWOS:000243345700001","View Full Record in Web of Science")</f>
        <v>View Full Record in Web of Science</v>
      </c>
    </row>
    <row r="460" spans="1:72" x14ac:dyDescent="0.15">
      <c r="A460" t="s">
        <v>72</v>
      </c>
      <c r="B460" t="s">
        <v>7321</v>
      </c>
      <c r="C460" t="s">
        <v>74</v>
      </c>
      <c r="D460" t="s">
        <v>74</v>
      </c>
      <c r="E460" t="s">
        <v>74</v>
      </c>
      <c r="F460" t="s">
        <v>7322</v>
      </c>
      <c r="G460" t="s">
        <v>74</v>
      </c>
      <c r="H460" t="s">
        <v>74</v>
      </c>
      <c r="I460" t="s">
        <v>7323</v>
      </c>
      <c r="J460" t="s">
        <v>7324</v>
      </c>
      <c r="K460" t="s">
        <v>74</v>
      </c>
      <c r="L460" t="s">
        <v>74</v>
      </c>
      <c r="M460" t="s">
        <v>78</v>
      </c>
      <c r="N460" t="s">
        <v>79</v>
      </c>
      <c r="O460" t="s">
        <v>74</v>
      </c>
      <c r="P460" t="s">
        <v>74</v>
      </c>
      <c r="Q460" t="s">
        <v>74</v>
      </c>
      <c r="R460" t="s">
        <v>74</v>
      </c>
      <c r="S460" t="s">
        <v>74</v>
      </c>
      <c r="T460" t="s">
        <v>74</v>
      </c>
      <c r="U460" t="s">
        <v>7325</v>
      </c>
      <c r="V460" t="s">
        <v>7326</v>
      </c>
      <c r="W460" t="s">
        <v>7327</v>
      </c>
      <c r="X460" t="s">
        <v>514</v>
      </c>
      <c r="Y460" t="s">
        <v>7328</v>
      </c>
      <c r="Z460" t="s">
        <v>7329</v>
      </c>
      <c r="AA460" t="s">
        <v>7330</v>
      </c>
      <c r="AB460" t="s">
        <v>7331</v>
      </c>
      <c r="AC460" t="s">
        <v>7332</v>
      </c>
      <c r="AD460" t="s">
        <v>1254</v>
      </c>
      <c r="AE460" t="s">
        <v>74</v>
      </c>
      <c r="AF460" t="s">
        <v>74</v>
      </c>
      <c r="AG460">
        <v>24</v>
      </c>
      <c r="AH460">
        <v>21</v>
      </c>
      <c r="AI460">
        <v>21</v>
      </c>
      <c r="AJ460">
        <v>0</v>
      </c>
      <c r="AK460">
        <v>5</v>
      </c>
      <c r="AL460" t="s">
        <v>7239</v>
      </c>
      <c r="AM460" t="s">
        <v>5498</v>
      </c>
      <c r="AN460" t="s">
        <v>7240</v>
      </c>
      <c r="AO460" t="s">
        <v>7333</v>
      </c>
      <c r="AP460" t="s">
        <v>7334</v>
      </c>
      <c r="AQ460" t="s">
        <v>74</v>
      </c>
      <c r="AR460" t="s">
        <v>7335</v>
      </c>
      <c r="AS460" t="s">
        <v>7336</v>
      </c>
      <c r="AT460" t="s">
        <v>7337</v>
      </c>
      <c r="AU460">
        <v>2006</v>
      </c>
      <c r="AV460">
        <v>111</v>
      </c>
      <c r="AW460" t="s">
        <v>7338</v>
      </c>
      <c r="AX460" t="s">
        <v>74</v>
      </c>
      <c r="AY460" t="s">
        <v>74</v>
      </c>
      <c r="AZ460" t="s">
        <v>74</v>
      </c>
      <c r="BA460" t="s">
        <v>74</v>
      </c>
      <c r="BB460" t="s">
        <v>74</v>
      </c>
      <c r="BC460" t="s">
        <v>74</v>
      </c>
      <c r="BD460" t="s">
        <v>7339</v>
      </c>
      <c r="BE460" t="s">
        <v>7340</v>
      </c>
      <c r="BF460" t="str">
        <f>HYPERLINK("http://dx.doi.org/10.1029/2005JB004019","http://dx.doi.org/10.1029/2005JB004019")</f>
        <v>http://dx.doi.org/10.1029/2005JB004019</v>
      </c>
      <c r="BG460" t="s">
        <v>74</v>
      </c>
      <c r="BH460" t="s">
        <v>74</v>
      </c>
      <c r="BI460">
        <v>8</v>
      </c>
      <c r="BJ460" t="s">
        <v>865</v>
      </c>
      <c r="BK460" t="s">
        <v>97</v>
      </c>
      <c r="BL460" t="s">
        <v>865</v>
      </c>
      <c r="BM460" t="s">
        <v>7341</v>
      </c>
      <c r="BN460" t="s">
        <v>74</v>
      </c>
      <c r="BO460" t="s">
        <v>124</v>
      </c>
      <c r="BP460" t="s">
        <v>74</v>
      </c>
      <c r="BQ460" t="s">
        <v>74</v>
      </c>
      <c r="BR460" t="s">
        <v>100</v>
      </c>
      <c r="BS460" t="s">
        <v>7342</v>
      </c>
      <c r="BT460" t="str">
        <f>HYPERLINK("https%3A%2F%2Fwww.webofscience.com%2Fwos%2Fwoscc%2Ffull-record%2FWOS:000243109400001","View Full Record in Web of Science")</f>
        <v>View Full Record in Web of Science</v>
      </c>
    </row>
    <row r="461" spans="1:72" x14ac:dyDescent="0.15">
      <c r="A461" t="s">
        <v>72</v>
      </c>
      <c r="B461" t="s">
        <v>7343</v>
      </c>
      <c r="C461" t="s">
        <v>74</v>
      </c>
      <c r="D461" t="s">
        <v>74</v>
      </c>
      <c r="E461" t="s">
        <v>74</v>
      </c>
      <c r="F461" t="s">
        <v>7344</v>
      </c>
      <c r="G461" t="s">
        <v>74</v>
      </c>
      <c r="H461" t="s">
        <v>74</v>
      </c>
      <c r="I461" t="s">
        <v>7345</v>
      </c>
      <c r="J461" t="s">
        <v>7346</v>
      </c>
      <c r="K461" t="s">
        <v>74</v>
      </c>
      <c r="L461" t="s">
        <v>74</v>
      </c>
      <c r="M461" t="s">
        <v>78</v>
      </c>
      <c r="N461" t="s">
        <v>79</v>
      </c>
      <c r="O461" t="s">
        <v>74</v>
      </c>
      <c r="P461" t="s">
        <v>74</v>
      </c>
      <c r="Q461" t="s">
        <v>74</v>
      </c>
      <c r="R461" t="s">
        <v>74</v>
      </c>
      <c r="S461" t="s">
        <v>74</v>
      </c>
      <c r="T461" t="s">
        <v>74</v>
      </c>
      <c r="U461" t="s">
        <v>7347</v>
      </c>
      <c r="V461" t="s">
        <v>7348</v>
      </c>
      <c r="W461" t="s">
        <v>7349</v>
      </c>
      <c r="X461" t="s">
        <v>7350</v>
      </c>
      <c r="Y461" t="s">
        <v>7351</v>
      </c>
      <c r="Z461" t="s">
        <v>7352</v>
      </c>
      <c r="AA461" t="s">
        <v>7353</v>
      </c>
      <c r="AB461" t="s">
        <v>7354</v>
      </c>
      <c r="AC461" t="s">
        <v>7355</v>
      </c>
      <c r="AD461" t="s">
        <v>158</v>
      </c>
      <c r="AE461" t="s">
        <v>74</v>
      </c>
      <c r="AF461" t="s">
        <v>74</v>
      </c>
      <c r="AG461">
        <v>36</v>
      </c>
      <c r="AH461">
        <v>478</v>
      </c>
      <c r="AI461">
        <v>545</v>
      </c>
      <c r="AJ461">
        <v>7</v>
      </c>
      <c r="AK461">
        <v>161</v>
      </c>
      <c r="AL461" t="s">
        <v>7356</v>
      </c>
      <c r="AM461" t="s">
        <v>5498</v>
      </c>
      <c r="AN461" t="s">
        <v>7357</v>
      </c>
      <c r="AO461" t="s">
        <v>7358</v>
      </c>
      <c r="AP461" t="s">
        <v>74</v>
      </c>
      <c r="AQ461" t="s">
        <v>74</v>
      </c>
      <c r="AR461" t="s">
        <v>7346</v>
      </c>
      <c r="AS461" t="s">
        <v>7359</v>
      </c>
      <c r="AT461" t="s">
        <v>7360</v>
      </c>
      <c r="AU461">
        <v>2006</v>
      </c>
      <c r="AV461">
        <v>314</v>
      </c>
      <c r="AW461">
        <v>5807</v>
      </c>
      <c r="AX461" t="s">
        <v>74</v>
      </c>
      <c r="AY461" t="s">
        <v>74</v>
      </c>
      <c r="AZ461" t="s">
        <v>74</v>
      </c>
      <c r="BA461" t="s">
        <v>74</v>
      </c>
      <c r="BB461">
        <v>1894</v>
      </c>
      <c r="BC461">
        <v>1898</v>
      </c>
      <c r="BD461" t="s">
        <v>74</v>
      </c>
      <c r="BE461" t="s">
        <v>7361</v>
      </c>
      <c r="BF461" t="str">
        <f>HYPERLINK("http://dx.doi.org/10.1126/science.1133822","http://dx.doi.org/10.1126/science.1133822")</f>
        <v>http://dx.doi.org/10.1126/science.1133822</v>
      </c>
      <c r="BG461" t="s">
        <v>74</v>
      </c>
      <c r="BH461" t="s">
        <v>74</v>
      </c>
      <c r="BI461">
        <v>5</v>
      </c>
      <c r="BJ461" t="s">
        <v>884</v>
      </c>
      <c r="BK461" t="s">
        <v>97</v>
      </c>
      <c r="BL461" t="s">
        <v>885</v>
      </c>
      <c r="BM461" t="s">
        <v>7362</v>
      </c>
      <c r="BN461">
        <v>17185595</v>
      </c>
      <c r="BO461" t="s">
        <v>3355</v>
      </c>
      <c r="BP461" t="s">
        <v>74</v>
      </c>
      <c r="BQ461" t="s">
        <v>74</v>
      </c>
      <c r="BR461" t="s">
        <v>100</v>
      </c>
      <c r="BS461" t="s">
        <v>7363</v>
      </c>
      <c r="BT461" t="str">
        <f>HYPERLINK("https%3A%2F%2Fwww.webofscience.com%2Fwos%2Fwoscc%2Ffull-record%2FWOS:000242996800039","View Full Record in Web of Science")</f>
        <v>View Full Record in Web of Science</v>
      </c>
    </row>
    <row r="462" spans="1:72" x14ac:dyDescent="0.15">
      <c r="A462" t="s">
        <v>72</v>
      </c>
      <c r="B462" t="s">
        <v>7364</v>
      </c>
      <c r="C462" t="s">
        <v>74</v>
      </c>
      <c r="D462" t="s">
        <v>74</v>
      </c>
      <c r="E462" t="s">
        <v>74</v>
      </c>
      <c r="F462" t="s">
        <v>7365</v>
      </c>
      <c r="G462" t="s">
        <v>74</v>
      </c>
      <c r="H462" t="s">
        <v>74</v>
      </c>
      <c r="I462" t="s">
        <v>7366</v>
      </c>
      <c r="J462" t="s">
        <v>7367</v>
      </c>
      <c r="K462" t="s">
        <v>74</v>
      </c>
      <c r="L462" t="s">
        <v>74</v>
      </c>
      <c r="M462" t="s">
        <v>78</v>
      </c>
      <c r="N462" t="s">
        <v>79</v>
      </c>
      <c r="O462" t="s">
        <v>74</v>
      </c>
      <c r="P462" t="s">
        <v>74</v>
      </c>
      <c r="Q462" t="s">
        <v>74</v>
      </c>
      <c r="R462" t="s">
        <v>74</v>
      </c>
      <c r="S462" t="s">
        <v>74</v>
      </c>
      <c r="T462" t="s">
        <v>7368</v>
      </c>
      <c r="U462" t="s">
        <v>7369</v>
      </c>
      <c r="V462" t="s">
        <v>7370</v>
      </c>
      <c r="W462" t="s">
        <v>7371</v>
      </c>
      <c r="X462" t="s">
        <v>7372</v>
      </c>
      <c r="Y462" t="s">
        <v>7373</v>
      </c>
      <c r="Z462" t="s">
        <v>7374</v>
      </c>
      <c r="AA462" t="s">
        <v>7375</v>
      </c>
      <c r="AB462" t="s">
        <v>7376</v>
      </c>
      <c r="AC462" t="s">
        <v>4321</v>
      </c>
      <c r="AD462" t="s">
        <v>158</v>
      </c>
      <c r="AE462" t="s">
        <v>74</v>
      </c>
      <c r="AF462" t="s">
        <v>74</v>
      </c>
      <c r="AG462">
        <v>35</v>
      </c>
      <c r="AH462">
        <v>13</v>
      </c>
      <c r="AI462">
        <v>16</v>
      </c>
      <c r="AJ462">
        <v>0</v>
      </c>
      <c r="AK462">
        <v>13</v>
      </c>
      <c r="AL462" t="s">
        <v>115</v>
      </c>
      <c r="AM462" t="s">
        <v>116</v>
      </c>
      <c r="AN462" t="s">
        <v>117</v>
      </c>
      <c r="AO462" t="s">
        <v>7377</v>
      </c>
      <c r="AP462" t="s">
        <v>7378</v>
      </c>
      <c r="AQ462" t="s">
        <v>74</v>
      </c>
      <c r="AR462" t="s">
        <v>7379</v>
      </c>
      <c r="AS462" t="s">
        <v>7380</v>
      </c>
      <c r="AT462" t="s">
        <v>7381</v>
      </c>
      <c r="AU462">
        <v>2006</v>
      </c>
      <c r="AV462">
        <v>45</v>
      </c>
      <c r="AW462">
        <v>3</v>
      </c>
      <c r="AX462" t="s">
        <v>74</v>
      </c>
      <c r="AY462" t="s">
        <v>74</v>
      </c>
      <c r="AZ462" t="s">
        <v>74</v>
      </c>
      <c r="BA462" t="s">
        <v>74</v>
      </c>
      <c r="BB462">
        <v>229</v>
      </c>
      <c r="BC462">
        <v>235</v>
      </c>
      <c r="BD462" t="s">
        <v>74</v>
      </c>
      <c r="BE462" t="s">
        <v>7382</v>
      </c>
      <c r="BF462" t="str">
        <f>HYPERLINK("http://dx.doi.org/10.3354/ame045229","http://dx.doi.org/10.3354/ame045229")</f>
        <v>http://dx.doi.org/10.3354/ame045229</v>
      </c>
      <c r="BG462" t="s">
        <v>74</v>
      </c>
      <c r="BH462" t="s">
        <v>74</v>
      </c>
      <c r="BI462">
        <v>7</v>
      </c>
      <c r="BJ462" t="s">
        <v>4934</v>
      </c>
      <c r="BK462" t="s">
        <v>97</v>
      </c>
      <c r="BL462" t="s">
        <v>4935</v>
      </c>
      <c r="BM462" t="s">
        <v>7383</v>
      </c>
      <c r="BN462" t="s">
        <v>74</v>
      </c>
      <c r="BO462" t="s">
        <v>4486</v>
      </c>
      <c r="BP462" t="s">
        <v>74</v>
      </c>
      <c r="BQ462" t="s">
        <v>74</v>
      </c>
      <c r="BR462" t="s">
        <v>100</v>
      </c>
      <c r="BS462" t="s">
        <v>7384</v>
      </c>
      <c r="BT462" t="str">
        <f>HYPERLINK("https%3A%2F%2Fwww.webofscience.com%2Fwos%2Fwoscc%2Ffull-record%2FWOS:000243607700003","View Full Record in Web of Science")</f>
        <v>View Full Record in Web of Science</v>
      </c>
    </row>
    <row r="463" spans="1:72" x14ac:dyDescent="0.15">
      <c r="A463" t="s">
        <v>72</v>
      </c>
      <c r="B463" t="s">
        <v>7385</v>
      </c>
      <c r="C463" t="s">
        <v>74</v>
      </c>
      <c r="D463" t="s">
        <v>74</v>
      </c>
      <c r="E463" t="s">
        <v>74</v>
      </c>
      <c r="F463" t="s">
        <v>7386</v>
      </c>
      <c r="G463" t="s">
        <v>74</v>
      </c>
      <c r="H463" t="s">
        <v>74</v>
      </c>
      <c r="I463" t="s">
        <v>7387</v>
      </c>
      <c r="J463" t="s">
        <v>7251</v>
      </c>
      <c r="K463" t="s">
        <v>74</v>
      </c>
      <c r="L463" t="s">
        <v>74</v>
      </c>
      <c r="M463" t="s">
        <v>78</v>
      </c>
      <c r="N463" t="s">
        <v>79</v>
      </c>
      <c r="O463" t="s">
        <v>74</v>
      </c>
      <c r="P463" t="s">
        <v>74</v>
      </c>
      <c r="Q463" t="s">
        <v>74</v>
      </c>
      <c r="R463" t="s">
        <v>74</v>
      </c>
      <c r="S463" t="s">
        <v>74</v>
      </c>
      <c r="T463" t="s">
        <v>74</v>
      </c>
      <c r="U463" t="s">
        <v>7388</v>
      </c>
      <c r="V463" t="s">
        <v>7389</v>
      </c>
      <c r="W463" t="s">
        <v>3341</v>
      </c>
      <c r="X463" t="s">
        <v>514</v>
      </c>
      <c r="Y463" t="s">
        <v>7390</v>
      </c>
      <c r="Z463" t="s">
        <v>7391</v>
      </c>
      <c r="AA463" t="s">
        <v>7392</v>
      </c>
      <c r="AB463" t="s">
        <v>7393</v>
      </c>
      <c r="AC463" t="s">
        <v>5423</v>
      </c>
      <c r="AD463" t="s">
        <v>1254</v>
      </c>
      <c r="AE463" t="s">
        <v>74</v>
      </c>
      <c r="AF463" t="s">
        <v>74</v>
      </c>
      <c r="AG463">
        <v>28</v>
      </c>
      <c r="AH463">
        <v>29</v>
      </c>
      <c r="AI463">
        <v>30</v>
      </c>
      <c r="AJ463">
        <v>0</v>
      </c>
      <c r="AK463">
        <v>1</v>
      </c>
      <c r="AL463" t="s">
        <v>7239</v>
      </c>
      <c r="AM463" t="s">
        <v>5498</v>
      </c>
      <c r="AN463" t="s">
        <v>7240</v>
      </c>
      <c r="AO463" t="s">
        <v>7257</v>
      </c>
      <c r="AP463" t="s">
        <v>7394</v>
      </c>
      <c r="AQ463" t="s">
        <v>74</v>
      </c>
      <c r="AR463" t="s">
        <v>7258</v>
      </c>
      <c r="AS463" t="s">
        <v>7259</v>
      </c>
      <c r="AT463" t="s">
        <v>7381</v>
      </c>
      <c r="AU463">
        <v>2006</v>
      </c>
      <c r="AV463">
        <v>33</v>
      </c>
      <c r="AW463">
        <v>24</v>
      </c>
      <c r="AX463" t="s">
        <v>74</v>
      </c>
      <c r="AY463" t="s">
        <v>74</v>
      </c>
      <c r="AZ463" t="s">
        <v>74</v>
      </c>
      <c r="BA463" t="s">
        <v>74</v>
      </c>
      <c r="BB463" t="s">
        <v>74</v>
      </c>
      <c r="BC463" t="s">
        <v>74</v>
      </c>
      <c r="BD463" t="s">
        <v>7395</v>
      </c>
      <c r="BE463" t="s">
        <v>7396</v>
      </c>
      <c r="BF463" t="str">
        <f>HYPERLINK("http://dx.doi.org/10.1029/2006GL027919","http://dx.doi.org/10.1029/2006GL027919")</f>
        <v>http://dx.doi.org/10.1029/2006GL027919</v>
      </c>
      <c r="BG463" t="s">
        <v>74</v>
      </c>
      <c r="BH463" t="s">
        <v>74</v>
      </c>
      <c r="BI463">
        <v>4</v>
      </c>
      <c r="BJ463" t="s">
        <v>685</v>
      </c>
      <c r="BK463" t="s">
        <v>97</v>
      </c>
      <c r="BL463" t="s">
        <v>642</v>
      </c>
      <c r="BM463" t="s">
        <v>7397</v>
      </c>
      <c r="BN463" t="s">
        <v>74</v>
      </c>
      <c r="BO463" t="s">
        <v>124</v>
      </c>
      <c r="BP463" t="s">
        <v>74</v>
      </c>
      <c r="BQ463" t="s">
        <v>74</v>
      </c>
      <c r="BR463" t="s">
        <v>100</v>
      </c>
      <c r="BS463" t="s">
        <v>7398</v>
      </c>
      <c r="BT463" t="str">
        <f>HYPERLINK("https%3A%2F%2Fwww.webofscience.com%2Fwos%2Fwoscc%2Ffull-record%2FWOS:000243106000004","View Full Record in Web of Science")</f>
        <v>View Full Record in Web of Science</v>
      </c>
    </row>
    <row r="464" spans="1:72" x14ac:dyDescent="0.15">
      <c r="A464" t="s">
        <v>72</v>
      </c>
      <c r="B464" t="s">
        <v>7399</v>
      </c>
      <c r="C464" t="s">
        <v>74</v>
      </c>
      <c r="D464" t="s">
        <v>74</v>
      </c>
      <c r="E464" t="s">
        <v>74</v>
      </c>
      <c r="F464" t="s">
        <v>7400</v>
      </c>
      <c r="G464" t="s">
        <v>74</v>
      </c>
      <c r="H464" t="s">
        <v>74</v>
      </c>
      <c r="I464" t="s">
        <v>7401</v>
      </c>
      <c r="J464" t="s">
        <v>7402</v>
      </c>
      <c r="K464" t="s">
        <v>74</v>
      </c>
      <c r="L464" t="s">
        <v>74</v>
      </c>
      <c r="M464" t="s">
        <v>78</v>
      </c>
      <c r="N464" t="s">
        <v>79</v>
      </c>
      <c r="O464" t="s">
        <v>74</v>
      </c>
      <c r="P464" t="s">
        <v>74</v>
      </c>
      <c r="Q464" t="s">
        <v>74</v>
      </c>
      <c r="R464" t="s">
        <v>74</v>
      </c>
      <c r="S464" t="s">
        <v>74</v>
      </c>
      <c r="T464" t="s">
        <v>74</v>
      </c>
      <c r="U464" t="s">
        <v>7403</v>
      </c>
      <c r="V464" t="s">
        <v>7404</v>
      </c>
      <c r="W464" t="s">
        <v>513</v>
      </c>
      <c r="X464" t="s">
        <v>514</v>
      </c>
      <c r="Y464" t="s">
        <v>7405</v>
      </c>
      <c r="Z464" t="s">
        <v>7406</v>
      </c>
      <c r="AA464" t="s">
        <v>7407</v>
      </c>
      <c r="AB464" t="s">
        <v>7408</v>
      </c>
      <c r="AC464" t="s">
        <v>3794</v>
      </c>
      <c r="AD464" t="s">
        <v>158</v>
      </c>
      <c r="AE464" t="s">
        <v>74</v>
      </c>
      <c r="AF464" t="s">
        <v>74</v>
      </c>
      <c r="AG464">
        <v>15</v>
      </c>
      <c r="AH464">
        <v>87</v>
      </c>
      <c r="AI464">
        <v>99</v>
      </c>
      <c r="AJ464">
        <v>1</v>
      </c>
      <c r="AK464">
        <v>15</v>
      </c>
      <c r="AL464" t="s">
        <v>7409</v>
      </c>
      <c r="AM464" t="s">
        <v>1197</v>
      </c>
      <c r="AN464" t="s">
        <v>7410</v>
      </c>
      <c r="AO464" t="s">
        <v>7411</v>
      </c>
      <c r="AP464" t="s">
        <v>7412</v>
      </c>
      <c r="AQ464" t="s">
        <v>74</v>
      </c>
      <c r="AR464" t="s">
        <v>7402</v>
      </c>
      <c r="AS464" t="s">
        <v>7413</v>
      </c>
      <c r="AT464" t="s">
        <v>7381</v>
      </c>
      <c r="AU464">
        <v>2006</v>
      </c>
      <c r="AV464">
        <v>444</v>
      </c>
      <c r="AW464">
        <v>7122</v>
      </c>
      <c r="AX464" t="s">
        <v>74</v>
      </c>
      <c r="AY464" t="s">
        <v>74</v>
      </c>
      <c r="AZ464" t="s">
        <v>74</v>
      </c>
      <c r="BA464" t="s">
        <v>74</v>
      </c>
      <c r="BB464">
        <v>1063</v>
      </c>
      <c r="BC464">
        <v>1064</v>
      </c>
      <c r="BD464" t="s">
        <v>74</v>
      </c>
      <c r="BE464" t="s">
        <v>7414</v>
      </c>
      <c r="BF464" t="str">
        <f>HYPERLINK("http://dx.doi.org/10.1038/nature05430","http://dx.doi.org/10.1038/nature05430")</f>
        <v>http://dx.doi.org/10.1038/nature05430</v>
      </c>
      <c r="BG464" t="s">
        <v>74</v>
      </c>
      <c r="BH464" t="s">
        <v>74</v>
      </c>
      <c r="BI464">
        <v>2</v>
      </c>
      <c r="BJ464" t="s">
        <v>884</v>
      </c>
      <c r="BK464" t="s">
        <v>97</v>
      </c>
      <c r="BL464" t="s">
        <v>885</v>
      </c>
      <c r="BM464" t="s">
        <v>7415</v>
      </c>
      <c r="BN464">
        <v>17183321</v>
      </c>
      <c r="BO464" t="s">
        <v>74</v>
      </c>
      <c r="BP464" t="s">
        <v>74</v>
      </c>
      <c r="BQ464" t="s">
        <v>74</v>
      </c>
      <c r="BR464" t="s">
        <v>100</v>
      </c>
      <c r="BS464" t="s">
        <v>7416</v>
      </c>
      <c r="BT464" t="str">
        <f>HYPERLINK("https%3A%2F%2Fwww.webofscience.com%2Fwos%2Fwoscc%2Ffull-record%2FWOS:000242971100054","View Full Record in Web of Science")</f>
        <v>View Full Record in Web of Science</v>
      </c>
    </row>
    <row r="465" spans="1:72" x14ac:dyDescent="0.15">
      <c r="A465" t="s">
        <v>72</v>
      </c>
      <c r="B465" t="s">
        <v>7417</v>
      </c>
      <c r="C465" t="s">
        <v>74</v>
      </c>
      <c r="D465" t="s">
        <v>74</v>
      </c>
      <c r="E465" t="s">
        <v>74</v>
      </c>
      <c r="F465" t="s">
        <v>7418</v>
      </c>
      <c r="G465" t="s">
        <v>74</v>
      </c>
      <c r="H465" t="s">
        <v>74</v>
      </c>
      <c r="I465" t="s">
        <v>7419</v>
      </c>
      <c r="J465" t="s">
        <v>7420</v>
      </c>
      <c r="K465" t="s">
        <v>74</v>
      </c>
      <c r="L465" t="s">
        <v>74</v>
      </c>
      <c r="M465" t="s">
        <v>78</v>
      </c>
      <c r="N465" t="s">
        <v>79</v>
      </c>
      <c r="O465" t="s">
        <v>74</v>
      </c>
      <c r="P465" t="s">
        <v>74</v>
      </c>
      <c r="Q465" t="s">
        <v>74</v>
      </c>
      <c r="R465" t="s">
        <v>74</v>
      </c>
      <c r="S465" t="s">
        <v>74</v>
      </c>
      <c r="T465" t="s">
        <v>74</v>
      </c>
      <c r="U465" t="s">
        <v>7421</v>
      </c>
      <c r="V465" t="s">
        <v>7422</v>
      </c>
      <c r="W465" t="s">
        <v>7423</v>
      </c>
      <c r="X465" t="s">
        <v>7424</v>
      </c>
      <c r="Y465" t="s">
        <v>7425</v>
      </c>
      <c r="Z465" t="s">
        <v>7426</v>
      </c>
      <c r="AA465" t="s">
        <v>74</v>
      </c>
      <c r="AB465" t="s">
        <v>74</v>
      </c>
      <c r="AC465" t="s">
        <v>74</v>
      </c>
      <c r="AD465" t="s">
        <v>74</v>
      </c>
      <c r="AE465" t="s">
        <v>74</v>
      </c>
      <c r="AF465" t="s">
        <v>74</v>
      </c>
      <c r="AG465">
        <v>26</v>
      </c>
      <c r="AH465">
        <v>18</v>
      </c>
      <c r="AI465">
        <v>18</v>
      </c>
      <c r="AJ465">
        <v>0</v>
      </c>
      <c r="AK465">
        <v>4</v>
      </c>
      <c r="AL465" t="s">
        <v>7427</v>
      </c>
      <c r="AM465" t="s">
        <v>7428</v>
      </c>
      <c r="AN465" t="s">
        <v>7429</v>
      </c>
      <c r="AO465" t="s">
        <v>7430</v>
      </c>
      <c r="AP465" t="s">
        <v>7431</v>
      </c>
      <c r="AQ465" t="s">
        <v>74</v>
      </c>
      <c r="AR465" t="s">
        <v>7420</v>
      </c>
      <c r="AS465" t="s">
        <v>7432</v>
      </c>
      <c r="AT465" t="s">
        <v>7433</v>
      </c>
      <c r="AU465">
        <v>2006</v>
      </c>
      <c r="AV465" t="s">
        <v>74</v>
      </c>
      <c r="AW465">
        <v>4</v>
      </c>
      <c r="AX465" t="s">
        <v>74</v>
      </c>
      <c r="AY465" t="s">
        <v>74</v>
      </c>
      <c r="AZ465" t="s">
        <v>74</v>
      </c>
      <c r="BA465" t="s">
        <v>74</v>
      </c>
      <c r="BB465">
        <v>752</v>
      </c>
      <c r="BC465">
        <v>759</v>
      </c>
      <c r="BD465" t="s">
        <v>74</v>
      </c>
      <c r="BE465" t="s">
        <v>74</v>
      </c>
      <c r="BF465" t="s">
        <v>74</v>
      </c>
      <c r="BG465" t="s">
        <v>74</v>
      </c>
      <c r="BH465" t="s">
        <v>74</v>
      </c>
      <c r="BI465">
        <v>8</v>
      </c>
      <c r="BJ465" t="s">
        <v>596</v>
      </c>
      <c r="BK465" t="s">
        <v>97</v>
      </c>
      <c r="BL465" t="s">
        <v>596</v>
      </c>
      <c r="BM465" t="s">
        <v>7434</v>
      </c>
      <c r="BN465" t="s">
        <v>74</v>
      </c>
      <c r="BO465" t="s">
        <v>74</v>
      </c>
      <c r="BP465" t="s">
        <v>74</v>
      </c>
      <c r="BQ465" t="s">
        <v>74</v>
      </c>
      <c r="BR465" t="s">
        <v>100</v>
      </c>
      <c r="BS465" t="s">
        <v>7435</v>
      </c>
      <c r="BT465" t="str">
        <f>HYPERLINK("https%3A%2F%2Fwww.webofscience.com%2Fwos%2Fwoscc%2Ffull-record%2FWOS:000243120300015","View Full Record in Web of Science")</f>
        <v>View Full Record in Web of Science</v>
      </c>
    </row>
    <row r="466" spans="1:72" x14ac:dyDescent="0.15">
      <c r="A466" t="s">
        <v>72</v>
      </c>
      <c r="B466" t="s">
        <v>7436</v>
      </c>
      <c r="C466" t="s">
        <v>74</v>
      </c>
      <c r="D466" t="s">
        <v>74</v>
      </c>
      <c r="E466" t="s">
        <v>74</v>
      </c>
      <c r="F466" t="s">
        <v>7437</v>
      </c>
      <c r="G466" t="s">
        <v>74</v>
      </c>
      <c r="H466" t="s">
        <v>74</v>
      </c>
      <c r="I466" t="s">
        <v>7438</v>
      </c>
      <c r="J466" t="s">
        <v>7439</v>
      </c>
      <c r="K466" t="s">
        <v>74</v>
      </c>
      <c r="L466" t="s">
        <v>74</v>
      </c>
      <c r="M466" t="s">
        <v>78</v>
      </c>
      <c r="N466" t="s">
        <v>79</v>
      </c>
      <c r="O466" t="s">
        <v>74</v>
      </c>
      <c r="P466" t="s">
        <v>74</v>
      </c>
      <c r="Q466" t="s">
        <v>74</v>
      </c>
      <c r="R466" t="s">
        <v>74</v>
      </c>
      <c r="S466" t="s">
        <v>74</v>
      </c>
      <c r="T466" t="s">
        <v>74</v>
      </c>
      <c r="U466" t="s">
        <v>7440</v>
      </c>
      <c r="V466" t="s">
        <v>7441</v>
      </c>
      <c r="W466" t="s">
        <v>7442</v>
      </c>
      <c r="X466" t="s">
        <v>7443</v>
      </c>
      <c r="Y466" t="s">
        <v>7444</v>
      </c>
      <c r="Z466" t="s">
        <v>7445</v>
      </c>
      <c r="AA466" t="s">
        <v>7446</v>
      </c>
      <c r="AB466" t="s">
        <v>7447</v>
      </c>
      <c r="AC466" t="s">
        <v>74</v>
      </c>
      <c r="AD466" t="s">
        <v>74</v>
      </c>
      <c r="AE466" t="s">
        <v>74</v>
      </c>
      <c r="AF466" t="s">
        <v>74</v>
      </c>
      <c r="AG466">
        <v>47</v>
      </c>
      <c r="AH466">
        <v>19</v>
      </c>
      <c r="AI466">
        <v>20</v>
      </c>
      <c r="AJ466">
        <v>0</v>
      </c>
      <c r="AK466">
        <v>2</v>
      </c>
      <c r="AL466" t="s">
        <v>7239</v>
      </c>
      <c r="AM466" t="s">
        <v>5498</v>
      </c>
      <c r="AN466" t="s">
        <v>7240</v>
      </c>
      <c r="AO466" t="s">
        <v>7448</v>
      </c>
      <c r="AP466" t="s">
        <v>7449</v>
      </c>
      <c r="AQ466" t="s">
        <v>74</v>
      </c>
      <c r="AR466" t="s">
        <v>7450</v>
      </c>
      <c r="AS466" t="s">
        <v>7451</v>
      </c>
      <c r="AT466" t="s">
        <v>7433</v>
      </c>
      <c r="AU466">
        <v>2006</v>
      </c>
      <c r="AV466">
        <v>111</v>
      </c>
      <c r="AW466" t="s">
        <v>7452</v>
      </c>
      <c r="AX466" t="s">
        <v>74</v>
      </c>
      <c r="AY466" t="s">
        <v>74</v>
      </c>
      <c r="AZ466" t="s">
        <v>74</v>
      </c>
      <c r="BA466" t="s">
        <v>74</v>
      </c>
      <c r="BB466" t="s">
        <v>74</v>
      </c>
      <c r="BC466" t="s">
        <v>74</v>
      </c>
      <c r="BD466" t="s">
        <v>7453</v>
      </c>
      <c r="BE466" t="s">
        <v>7454</v>
      </c>
      <c r="BF466" t="str">
        <f>HYPERLINK("http://dx.doi.org/10.1029/2005JD006726","http://dx.doi.org/10.1029/2005JD006726")</f>
        <v>http://dx.doi.org/10.1029/2005JD006726</v>
      </c>
      <c r="BG466" t="s">
        <v>74</v>
      </c>
      <c r="BH466" t="s">
        <v>74</v>
      </c>
      <c r="BI466">
        <v>20</v>
      </c>
      <c r="BJ466" t="s">
        <v>3208</v>
      </c>
      <c r="BK466" t="s">
        <v>97</v>
      </c>
      <c r="BL466" t="s">
        <v>3208</v>
      </c>
      <c r="BM466" t="s">
        <v>7455</v>
      </c>
      <c r="BN466" t="s">
        <v>74</v>
      </c>
      <c r="BO466" t="s">
        <v>7456</v>
      </c>
      <c r="BP466" t="s">
        <v>74</v>
      </c>
      <c r="BQ466" t="s">
        <v>74</v>
      </c>
      <c r="BR466" t="s">
        <v>100</v>
      </c>
      <c r="BS466" t="s">
        <v>7457</v>
      </c>
      <c r="BT466" t="str">
        <f>HYPERLINK("https%3A%2F%2Fwww.webofscience.com%2Fwos%2Fwoscc%2Ffull-record%2FWOS:000243106900001","View Full Record in Web of Science")</f>
        <v>View Full Record in Web of Science</v>
      </c>
    </row>
    <row r="467" spans="1:72" x14ac:dyDescent="0.15">
      <c r="A467" t="s">
        <v>72</v>
      </c>
      <c r="B467" t="s">
        <v>7458</v>
      </c>
      <c r="C467" t="s">
        <v>74</v>
      </c>
      <c r="D467" t="s">
        <v>74</v>
      </c>
      <c r="E467" t="s">
        <v>74</v>
      </c>
      <c r="F467" t="s">
        <v>7459</v>
      </c>
      <c r="G467" t="s">
        <v>74</v>
      </c>
      <c r="H467" t="s">
        <v>74</v>
      </c>
      <c r="I467" t="s">
        <v>7460</v>
      </c>
      <c r="J467" t="s">
        <v>7251</v>
      </c>
      <c r="K467" t="s">
        <v>74</v>
      </c>
      <c r="L467" t="s">
        <v>74</v>
      </c>
      <c r="M467" t="s">
        <v>78</v>
      </c>
      <c r="N467" t="s">
        <v>79</v>
      </c>
      <c r="O467" t="s">
        <v>74</v>
      </c>
      <c r="P467" t="s">
        <v>74</v>
      </c>
      <c r="Q467" t="s">
        <v>74</v>
      </c>
      <c r="R467" t="s">
        <v>74</v>
      </c>
      <c r="S467" t="s">
        <v>74</v>
      </c>
      <c r="T467" t="s">
        <v>74</v>
      </c>
      <c r="U467" t="s">
        <v>7461</v>
      </c>
      <c r="V467" t="s">
        <v>7462</v>
      </c>
      <c r="W467" t="s">
        <v>7463</v>
      </c>
      <c r="X467" t="s">
        <v>7464</v>
      </c>
      <c r="Y467" t="s">
        <v>7465</v>
      </c>
      <c r="Z467" t="s">
        <v>74</v>
      </c>
      <c r="AA467" t="s">
        <v>7466</v>
      </c>
      <c r="AB467" t="s">
        <v>7467</v>
      </c>
      <c r="AC467" t="s">
        <v>7332</v>
      </c>
      <c r="AD467" t="s">
        <v>1254</v>
      </c>
      <c r="AE467" t="s">
        <v>74</v>
      </c>
      <c r="AF467" t="s">
        <v>74</v>
      </c>
      <c r="AG467">
        <v>16</v>
      </c>
      <c r="AH467">
        <v>23</v>
      </c>
      <c r="AI467">
        <v>23</v>
      </c>
      <c r="AJ467">
        <v>0</v>
      </c>
      <c r="AK467">
        <v>10</v>
      </c>
      <c r="AL467" t="s">
        <v>7239</v>
      </c>
      <c r="AM467" t="s">
        <v>5498</v>
      </c>
      <c r="AN467" t="s">
        <v>7240</v>
      </c>
      <c r="AO467" t="s">
        <v>7257</v>
      </c>
      <c r="AP467" t="s">
        <v>74</v>
      </c>
      <c r="AQ467" t="s">
        <v>74</v>
      </c>
      <c r="AR467" t="s">
        <v>7258</v>
      </c>
      <c r="AS467" t="s">
        <v>7259</v>
      </c>
      <c r="AT467" t="s">
        <v>7468</v>
      </c>
      <c r="AU467">
        <v>2006</v>
      </c>
      <c r="AV467">
        <v>33</v>
      </c>
      <c r="AW467">
        <v>24</v>
      </c>
      <c r="AX467" t="s">
        <v>74</v>
      </c>
      <c r="AY467" t="s">
        <v>74</v>
      </c>
      <c r="AZ467" t="s">
        <v>74</v>
      </c>
      <c r="BA467" t="s">
        <v>74</v>
      </c>
      <c r="BB467" t="s">
        <v>74</v>
      </c>
      <c r="BC467" t="s">
        <v>74</v>
      </c>
      <c r="BD467" t="s">
        <v>7469</v>
      </c>
      <c r="BE467" t="s">
        <v>7470</v>
      </c>
      <c r="BF467" t="str">
        <f>HYPERLINK("http://dx.doi.org/10.1029/2006GL027974","http://dx.doi.org/10.1029/2006GL027974")</f>
        <v>http://dx.doi.org/10.1029/2006GL027974</v>
      </c>
      <c r="BG467" t="s">
        <v>74</v>
      </c>
      <c r="BH467" t="s">
        <v>74</v>
      </c>
      <c r="BI467">
        <v>6</v>
      </c>
      <c r="BJ467" t="s">
        <v>685</v>
      </c>
      <c r="BK467" t="s">
        <v>97</v>
      </c>
      <c r="BL467" t="s">
        <v>642</v>
      </c>
      <c r="BM467" t="s">
        <v>7471</v>
      </c>
      <c r="BN467" t="s">
        <v>74</v>
      </c>
      <c r="BO467" t="s">
        <v>7472</v>
      </c>
      <c r="BP467" t="s">
        <v>74</v>
      </c>
      <c r="BQ467" t="s">
        <v>74</v>
      </c>
      <c r="BR467" t="s">
        <v>100</v>
      </c>
      <c r="BS467" t="s">
        <v>7473</v>
      </c>
      <c r="BT467" t="str">
        <f>HYPERLINK("https%3A%2F%2Fwww.webofscience.com%2Fwos%2Fwoscc%2Ffull-record%2FWOS:000243105700006","View Full Record in Web of Science")</f>
        <v>View Full Record in Web of Science</v>
      </c>
    </row>
    <row r="468" spans="1:72" x14ac:dyDescent="0.15">
      <c r="A468" t="s">
        <v>72</v>
      </c>
      <c r="B468" t="s">
        <v>7474</v>
      </c>
      <c r="C468" t="s">
        <v>74</v>
      </c>
      <c r="D468" t="s">
        <v>74</v>
      </c>
      <c r="E468" t="s">
        <v>74</v>
      </c>
      <c r="F468" t="s">
        <v>7475</v>
      </c>
      <c r="G468" t="s">
        <v>74</v>
      </c>
      <c r="H468" t="s">
        <v>74</v>
      </c>
      <c r="I468" t="s">
        <v>7476</v>
      </c>
      <c r="J468" t="s">
        <v>7287</v>
      </c>
      <c r="K468" t="s">
        <v>74</v>
      </c>
      <c r="L468" t="s">
        <v>74</v>
      </c>
      <c r="M468" t="s">
        <v>78</v>
      </c>
      <c r="N468" t="s">
        <v>79</v>
      </c>
      <c r="O468" t="s">
        <v>74</v>
      </c>
      <c r="P468" t="s">
        <v>74</v>
      </c>
      <c r="Q468" t="s">
        <v>74</v>
      </c>
      <c r="R468" t="s">
        <v>74</v>
      </c>
      <c r="S468" t="s">
        <v>74</v>
      </c>
      <c r="T468" t="s">
        <v>74</v>
      </c>
      <c r="U468" t="s">
        <v>7477</v>
      </c>
      <c r="V468" t="s">
        <v>7478</v>
      </c>
      <c r="W468" t="s">
        <v>7479</v>
      </c>
      <c r="X468" t="s">
        <v>7480</v>
      </c>
      <c r="Y468" t="s">
        <v>7481</v>
      </c>
      <c r="Z468" t="s">
        <v>7482</v>
      </c>
      <c r="AA468" t="s">
        <v>7483</v>
      </c>
      <c r="AB468" t="s">
        <v>7484</v>
      </c>
      <c r="AC468" t="s">
        <v>7485</v>
      </c>
      <c r="AD468" t="s">
        <v>158</v>
      </c>
      <c r="AE468" t="s">
        <v>74</v>
      </c>
      <c r="AF468" t="s">
        <v>74</v>
      </c>
      <c r="AG468">
        <v>52</v>
      </c>
      <c r="AH468">
        <v>62</v>
      </c>
      <c r="AI468">
        <v>63</v>
      </c>
      <c r="AJ468">
        <v>0</v>
      </c>
      <c r="AK468">
        <v>20</v>
      </c>
      <c r="AL468" t="s">
        <v>7239</v>
      </c>
      <c r="AM468" t="s">
        <v>5498</v>
      </c>
      <c r="AN468" t="s">
        <v>7240</v>
      </c>
      <c r="AO468" t="s">
        <v>7296</v>
      </c>
      <c r="AP468" t="s">
        <v>7297</v>
      </c>
      <c r="AQ468" t="s">
        <v>74</v>
      </c>
      <c r="AR468" t="s">
        <v>7298</v>
      </c>
      <c r="AS468" t="s">
        <v>7299</v>
      </c>
      <c r="AT468" t="s">
        <v>7468</v>
      </c>
      <c r="AU468">
        <v>2006</v>
      </c>
      <c r="AV468">
        <v>111</v>
      </c>
      <c r="AW468" t="s">
        <v>7301</v>
      </c>
      <c r="AX468" t="s">
        <v>74</v>
      </c>
      <c r="AY468" t="s">
        <v>74</v>
      </c>
      <c r="AZ468" t="s">
        <v>74</v>
      </c>
      <c r="BA468" t="s">
        <v>74</v>
      </c>
      <c r="BB468" t="s">
        <v>74</v>
      </c>
      <c r="BC468" t="s">
        <v>74</v>
      </c>
      <c r="BD468" t="s">
        <v>7486</v>
      </c>
      <c r="BE468" t="s">
        <v>7487</v>
      </c>
      <c r="BF468" t="str">
        <f>HYPERLINK("http://dx.doi.org/10.1029/2005JC003033","http://dx.doi.org/10.1029/2005JC003033")</f>
        <v>http://dx.doi.org/10.1029/2005JC003033</v>
      </c>
      <c r="BG468" t="s">
        <v>74</v>
      </c>
      <c r="BH468" t="s">
        <v>74</v>
      </c>
      <c r="BI468">
        <v>17</v>
      </c>
      <c r="BJ468" t="s">
        <v>1260</v>
      </c>
      <c r="BK468" t="s">
        <v>97</v>
      </c>
      <c r="BL468" t="s">
        <v>1260</v>
      </c>
      <c r="BM468" t="s">
        <v>7488</v>
      </c>
      <c r="BN468" t="s">
        <v>74</v>
      </c>
      <c r="BO468" t="s">
        <v>74</v>
      </c>
      <c r="BP468" t="s">
        <v>74</v>
      </c>
      <c r="BQ468" t="s">
        <v>74</v>
      </c>
      <c r="BR468" t="s">
        <v>100</v>
      </c>
      <c r="BS468" t="s">
        <v>7489</v>
      </c>
      <c r="BT468" t="str">
        <f>HYPERLINK("https%3A%2F%2Fwww.webofscience.com%2Fwos%2Fwoscc%2Ffull-record%2FWOS:000243107900001","View Full Record in Web of Science")</f>
        <v>View Full Record in Web of Science</v>
      </c>
    </row>
    <row r="469" spans="1:72" x14ac:dyDescent="0.15">
      <c r="A469" t="s">
        <v>72</v>
      </c>
      <c r="B469" t="s">
        <v>7490</v>
      </c>
      <c r="C469" t="s">
        <v>74</v>
      </c>
      <c r="D469" t="s">
        <v>74</v>
      </c>
      <c r="E469" t="s">
        <v>74</v>
      </c>
      <c r="F469" t="s">
        <v>7491</v>
      </c>
      <c r="G469" t="s">
        <v>74</v>
      </c>
      <c r="H469" t="s">
        <v>74</v>
      </c>
      <c r="I469" t="s">
        <v>7492</v>
      </c>
      <c r="J469" t="s">
        <v>7493</v>
      </c>
      <c r="K469" t="s">
        <v>74</v>
      </c>
      <c r="L469" t="s">
        <v>74</v>
      </c>
      <c r="M469" t="s">
        <v>78</v>
      </c>
      <c r="N469" t="s">
        <v>79</v>
      </c>
      <c r="O469" t="s">
        <v>74</v>
      </c>
      <c r="P469" t="s">
        <v>74</v>
      </c>
      <c r="Q469" t="s">
        <v>74</v>
      </c>
      <c r="R469" t="s">
        <v>74</v>
      </c>
      <c r="S469" t="s">
        <v>74</v>
      </c>
      <c r="T469" t="s">
        <v>7494</v>
      </c>
      <c r="U469" t="s">
        <v>7495</v>
      </c>
      <c r="V469" t="s">
        <v>7496</v>
      </c>
      <c r="W469" t="s">
        <v>7497</v>
      </c>
      <c r="X469" t="s">
        <v>7498</v>
      </c>
      <c r="Y469" t="s">
        <v>7499</v>
      </c>
      <c r="Z469" t="s">
        <v>7500</v>
      </c>
      <c r="AA469" t="s">
        <v>7501</v>
      </c>
      <c r="AB469" t="s">
        <v>7502</v>
      </c>
      <c r="AC469" t="s">
        <v>74</v>
      </c>
      <c r="AD469" t="s">
        <v>74</v>
      </c>
      <c r="AE469" t="s">
        <v>74</v>
      </c>
      <c r="AF469" t="s">
        <v>74</v>
      </c>
      <c r="AG469">
        <v>40</v>
      </c>
      <c r="AH469">
        <v>21</v>
      </c>
      <c r="AI469">
        <v>23</v>
      </c>
      <c r="AJ469">
        <v>0</v>
      </c>
      <c r="AK469">
        <v>0</v>
      </c>
      <c r="AL469" t="s">
        <v>7503</v>
      </c>
      <c r="AM469" t="s">
        <v>7504</v>
      </c>
      <c r="AN469" t="s">
        <v>7505</v>
      </c>
      <c r="AO469" t="s">
        <v>7506</v>
      </c>
      <c r="AP469" t="s">
        <v>7507</v>
      </c>
      <c r="AQ469" t="s">
        <v>74</v>
      </c>
      <c r="AR469" t="s">
        <v>7493</v>
      </c>
      <c r="AS469" t="s">
        <v>7508</v>
      </c>
      <c r="AT469" t="s">
        <v>7509</v>
      </c>
      <c r="AU469">
        <v>2006</v>
      </c>
      <c r="AV469" t="s">
        <v>74</v>
      </c>
      <c r="AW469">
        <v>1383</v>
      </c>
      <c r="AX469" t="s">
        <v>74</v>
      </c>
      <c r="AY469" t="s">
        <v>74</v>
      </c>
      <c r="AZ469" t="s">
        <v>74</v>
      </c>
      <c r="BA469" t="s">
        <v>74</v>
      </c>
      <c r="BB469">
        <v>1</v>
      </c>
      <c r="BC469">
        <v>21</v>
      </c>
      <c r="BD469" t="s">
        <v>74</v>
      </c>
      <c r="BE469" t="s">
        <v>74</v>
      </c>
      <c r="BF469" t="s">
        <v>74</v>
      </c>
      <c r="BG469" t="s">
        <v>74</v>
      </c>
      <c r="BH469" t="s">
        <v>74</v>
      </c>
      <c r="BI469">
        <v>21</v>
      </c>
      <c r="BJ469" t="s">
        <v>596</v>
      </c>
      <c r="BK469" t="s">
        <v>97</v>
      </c>
      <c r="BL469" t="s">
        <v>596</v>
      </c>
      <c r="BM469" t="s">
        <v>7510</v>
      </c>
      <c r="BN469" t="s">
        <v>74</v>
      </c>
      <c r="BO469" t="s">
        <v>74</v>
      </c>
      <c r="BP469" t="s">
        <v>74</v>
      </c>
      <c r="BQ469" t="s">
        <v>74</v>
      </c>
      <c r="BR469" t="s">
        <v>100</v>
      </c>
      <c r="BS469" t="s">
        <v>7511</v>
      </c>
      <c r="BT469" t="str">
        <f>HYPERLINK("https%3A%2F%2Fwww.webofscience.com%2Fwos%2Fwoscc%2Ffull-record%2FWOS:000242930600001","View Full Record in Web of Science")</f>
        <v>View Full Record in Web of Science</v>
      </c>
    </row>
    <row r="470" spans="1:72" x14ac:dyDescent="0.15">
      <c r="A470" t="s">
        <v>72</v>
      </c>
      <c r="B470" t="s">
        <v>7512</v>
      </c>
      <c r="C470" t="s">
        <v>74</v>
      </c>
      <c r="D470" t="s">
        <v>74</v>
      </c>
      <c r="E470" t="s">
        <v>74</v>
      </c>
      <c r="F470" t="s">
        <v>7513</v>
      </c>
      <c r="G470" t="s">
        <v>74</v>
      </c>
      <c r="H470" t="s">
        <v>74</v>
      </c>
      <c r="I470" t="s">
        <v>7514</v>
      </c>
      <c r="J470" t="s">
        <v>7251</v>
      </c>
      <c r="K470" t="s">
        <v>74</v>
      </c>
      <c r="L470" t="s">
        <v>74</v>
      </c>
      <c r="M470" t="s">
        <v>78</v>
      </c>
      <c r="N470" t="s">
        <v>79</v>
      </c>
      <c r="O470" t="s">
        <v>74</v>
      </c>
      <c r="P470" t="s">
        <v>74</v>
      </c>
      <c r="Q470" t="s">
        <v>74</v>
      </c>
      <c r="R470" t="s">
        <v>74</v>
      </c>
      <c r="S470" t="s">
        <v>74</v>
      </c>
      <c r="T470" t="s">
        <v>74</v>
      </c>
      <c r="U470" t="s">
        <v>7515</v>
      </c>
      <c r="V470" t="s">
        <v>7516</v>
      </c>
      <c r="W470" t="s">
        <v>4654</v>
      </c>
      <c r="X470" t="s">
        <v>514</v>
      </c>
      <c r="Y470" t="s">
        <v>7517</v>
      </c>
      <c r="Z470" t="s">
        <v>7518</v>
      </c>
      <c r="AA470" t="s">
        <v>74</v>
      </c>
      <c r="AB470" t="s">
        <v>74</v>
      </c>
      <c r="AC470" t="s">
        <v>3794</v>
      </c>
      <c r="AD470" t="s">
        <v>158</v>
      </c>
      <c r="AE470" t="s">
        <v>74</v>
      </c>
      <c r="AF470" t="s">
        <v>74</v>
      </c>
      <c r="AG470">
        <v>22</v>
      </c>
      <c r="AH470">
        <v>56</v>
      </c>
      <c r="AI470">
        <v>65</v>
      </c>
      <c r="AJ470">
        <v>0</v>
      </c>
      <c r="AK470">
        <v>8</v>
      </c>
      <c r="AL470" t="s">
        <v>7239</v>
      </c>
      <c r="AM470" t="s">
        <v>5498</v>
      </c>
      <c r="AN470" t="s">
        <v>7240</v>
      </c>
      <c r="AO470" t="s">
        <v>7257</v>
      </c>
      <c r="AP470" t="s">
        <v>7394</v>
      </c>
      <c r="AQ470" t="s">
        <v>74</v>
      </c>
      <c r="AR470" t="s">
        <v>7258</v>
      </c>
      <c r="AS470" t="s">
        <v>7259</v>
      </c>
      <c r="AT470" t="s">
        <v>7519</v>
      </c>
      <c r="AU470">
        <v>2006</v>
      </c>
      <c r="AV470">
        <v>33</v>
      </c>
      <c r="AW470">
        <v>24</v>
      </c>
      <c r="AX470" t="s">
        <v>74</v>
      </c>
      <c r="AY470" t="s">
        <v>74</v>
      </c>
      <c r="AZ470" t="s">
        <v>74</v>
      </c>
      <c r="BA470" t="s">
        <v>74</v>
      </c>
      <c r="BB470" t="s">
        <v>74</v>
      </c>
      <c r="BC470" t="s">
        <v>74</v>
      </c>
      <c r="BD470" t="s">
        <v>7520</v>
      </c>
      <c r="BE470" t="s">
        <v>7521</v>
      </c>
      <c r="BF470" t="str">
        <f>HYPERLINK("http://dx.doi.org/10.1029/2006GL028207","http://dx.doi.org/10.1029/2006GL028207")</f>
        <v>http://dx.doi.org/10.1029/2006GL028207</v>
      </c>
      <c r="BG470" t="s">
        <v>74</v>
      </c>
      <c r="BH470" t="s">
        <v>74</v>
      </c>
      <c r="BI470">
        <v>5</v>
      </c>
      <c r="BJ470" t="s">
        <v>685</v>
      </c>
      <c r="BK470" t="s">
        <v>97</v>
      </c>
      <c r="BL470" t="s">
        <v>642</v>
      </c>
      <c r="BM470" t="s">
        <v>7522</v>
      </c>
      <c r="BN470" t="s">
        <v>74</v>
      </c>
      <c r="BO470" t="s">
        <v>124</v>
      </c>
      <c r="BP470" t="s">
        <v>74</v>
      </c>
      <c r="BQ470" t="s">
        <v>74</v>
      </c>
      <c r="BR470" t="s">
        <v>100</v>
      </c>
      <c r="BS470" t="s">
        <v>7523</v>
      </c>
      <c r="BT470" t="str">
        <f>HYPERLINK("https%3A%2F%2Fwww.webofscience.com%2Fwos%2Fwoscc%2Ffull-record%2FWOS:000242942500006","View Full Record in Web of Science")</f>
        <v>View Full Record in Web of Science</v>
      </c>
    </row>
    <row r="471" spans="1:72" x14ac:dyDescent="0.15">
      <c r="A471" t="s">
        <v>72</v>
      </c>
      <c r="B471" t="s">
        <v>7524</v>
      </c>
      <c r="C471" t="s">
        <v>74</v>
      </c>
      <c r="D471" t="s">
        <v>74</v>
      </c>
      <c r="E471" t="s">
        <v>74</v>
      </c>
      <c r="F471" t="s">
        <v>7525</v>
      </c>
      <c r="G471" t="s">
        <v>74</v>
      </c>
      <c r="H471" t="s">
        <v>74</v>
      </c>
      <c r="I471" t="s">
        <v>7526</v>
      </c>
      <c r="J471" t="s">
        <v>7527</v>
      </c>
      <c r="K471" t="s">
        <v>74</v>
      </c>
      <c r="L471" t="s">
        <v>74</v>
      </c>
      <c r="M471" t="s">
        <v>78</v>
      </c>
      <c r="N471" t="s">
        <v>79</v>
      </c>
      <c r="O471" t="s">
        <v>74</v>
      </c>
      <c r="P471" t="s">
        <v>74</v>
      </c>
      <c r="Q471" t="s">
        <v>74</v>
      </c>
      <c r="R471" t="s">
        <v>74</v>
      </c>
      <c r="S471" t="s">
        <v>74</v>
      </c>
      <c r="T471" t="s">
        <v>74</v>
      </c>
      <c r="U471" t="s">
        <v>7528</v>
      </c>
      <c r="V471" t="s">
        <v>7529</v>
      </c>
      <c r="W471" t="s">
        <v>7530</v>
      </c>
      <c r="X471" t="s">
        <v>7531</v>
      </c>
      <c r="Y471" t="s">
        <v>7532</v>
      </c>
      <c r="Z471" t="s">
        <v>7533</v>
      </c>
      <c r="AA471" t="s">
        <v>74</v>
      </c>
      <c r="AB471" t="s">
        <v>74</v>
      </c>
      <c r="AC471" t="s">
        <v>74</v>
      </c>
      <c r="AD471" t="s">
        <v>74</v>
      </c>
      <c r="AE471" t="s">
        <v>74</v>
      </c>
      <c r="AF471" t="s">
        <v>74</v>
      </c>
      <c r="AG471">
        <v>27</v>
      </c>
      <c r="AH471">
        <v>19</v>
      </c>
      <c r="AI471">
        <v>24</v>
      </c>
      <c r="AJ471">
        <v>0</v>
      </c>
      <c r="AK471">
        <v>26</v>
      </c>
      <c r="AL471" t="s">
        <v>7534</v>
      </c>
      <c r="AM471" t="s">
        <v>5498</v>
      </c>
      <c r="AN471" t="s">
        <v>7535</v>
      </c>
      <c r="AO471" t="s">
        <v>7536</v>
      </c>
      <c r="AP471" t="s">
        <v>7537</v>
      </c>
      <c r="AQ471" t="s">
        <v>74</v>
      </c>
      <c r="AR471" t="s">
        <v>7538</v>
      </c>
      <c r="AS471" t="s">
        <v>7539</v>
      </c>
      <c r="AT471" t="s">
        <v>7540</v>
      </c>
      <c r="AU471">
        <v>2006</v>
      </c>
      <c r="AV471">
        <v>78</v>
      </c>
      <c r="AW471">
        <v>24</v>
      </c>
      <c r="AX471" t="s">
        <v>74</v>
      </c>
      <c r="AY471" t="s">
        <v>74</v>
      </c>
      <c r="AZ471" t="s">
        <v>74</v>
      </c>
      <c r="BA471" t="s">
        <v>74</v>
      </c>
      <c r="BB471">
        <v>8194</v>
      </c>
      <c r="BC471">
        <v>8199</v>
      </c>
      <c r="BD471" t="s">
        <v>74</v>
      </c>
      <c r="BE471" t="s">
        <v>7541</v>
      </c>
      <c r="BF471" t="str">
        <f>HYPERLINK("http://dx.doi.org/10.1021/ac0608523","http://dx.doi.org/10.1021/ac0608523")</f>
        <v>http://dx.doi.org/10.1021/ac0608523</v>
      </c>
      <c r="BG471" t="s">
        <v>74</v>
      </c>
      <c r="BH471" t="s">
        <v>74</v>
      </c>
      <c r="BI471">
        <v>6</v>
      </c>
      <c r="BJ471" t="s">
        <v>844</v>
      </c>
      <c r="BK471" t="s">
        <v>97</v>
      </c>
      <c r="BL471" t="s">
        <v>335</v>
      </c>
      <c r="BM471" t="s">
        <v>7542</v>
      </c>
      <c r="BN471">
        <v>17165807</v>
      </c>
      <c r="BO471" t="s">
        <v>74</v>
      </c>
      <c r="BP471" t="s">
        <v>74</v>
      </c>
      <c r="BQ471" t="s">
        <v>74</v>
      </c>
      <c r="BR471" t="s">
        <v>100</v>
      </c>
      <c r="BS471" t="s">
        <v>7543</v>
      </c>
      <c r="BT471" t="str">
        <f>HYPERLINK("https%3A%2F%2Fwww.webofscience.com%2Fwos%2Fwoscc%2Ffull-record%2FWOS:000242824900004","View Full Record in Web of Science")</f>
        <v>View Full Record in Web of Science</v>
      </c>
    </row>
    <row r="472" spans="1:72" x14ac:dyDescent="0.15">
      <c r="A472" t="s">
        <v>72</v>
      </c>
      <c r="B472" t="s">
        <v>7544</v>
      </c>
      <c r="C472" t="s">
        <v>74</v>
      </c>
      <c r="D472" t="s">
        <v>74</v>
      </c>
      <c r="E472" t="s">
        <v>74</v>
      </c>
      <c r="F472" t="s">
        <v>7545</v>
      </c>
      <c r="G472" t="s">
        <v>74</v>
      </c>
      <c r="H472" t="s">
        <v>74</v>
      </c>
      <c r="I472" t="s">
        <v>7546</v>
      </c>
      <c r="J472" t="s">
        <v>7547</v>
      </c>
      <c r="K472" t="s">
        <v>74</v>
      </c>
      <c r="L472" t="s">
        <v>74</v>
      </c>
      <c r="M472" t="s">
        <v>78</v>
      </c>
      <c r="N472" t="s">
        <v>79</v>
      </c>
      <c r="O472" t="s">
        <v>74</v>
      </c>
      <c r="P472" t="s">
        <v>74</v>
      </c>
      <c r="Q472" t="s">
        <v>74</v>
      </c>
      <c r="R472" t="s">
        <v>74</v>
      </c>
      <c r="S472" t="s">
        <v>74</v>
      </c>
      <c r="T472" t="s">
        <v>7548</v>
      </c>
      <c r="U472" t="s">
        <v>7549</v>
      </c>
      <c r="V472" t="s">
        <v>7550</v>
      </c>
      <c r="W472" t="s">
        <v>7551</v>
      </c>
      <c r="X472" t="s">
        <v>7552</v>
      </c>
      <c r="Y472" t="s">
        <v>7553</v>
      </c>
      <c r="Z472" t="s">
        <v>7554</v>
      </c>
      <c r="AA472" t="s">
        <v>7555</v>
      </c>
      <c r="AB472" t="s">
        <v>7556</v>
      </c>
      <c r="AC472" t="s">
        <v>74</v>
      </c>
      <c r="AD472" t="s">
        <v>74</v>
      </c>
      <c r="AE472" t="s">
        <v>74</v>
      </c>
      <c r="AF472" t="s">
        <v>74</v>
      </c>
      <c r="AG472">
        <v>65</v>
      </c>
      <c r="AH472">
        <v>71</v>
      </c>
      <c r="AI472">
        <v>83</v>
      </c>
      <c r="AJ472">
        <v>1</v>
      </c>
      <c r="AK472">
        <v>42</v>
      </c>
      <c r="AL472" t="s">
        <v>2829</v>
      </c>
      <c r="AM472" t="s">
        <v>903</v>
      </c>
      <c r="AN472" t="s">
        <v>2830</v>
      </c>
      <c r="AO472" t="s">
        <v>7557</v>
      </c>
      <c r="AP472" t="s">
        <v>7558</v>
      </c>
      <c r="AQ472" t="s">
        <v>74</v>
      </c>
      <c r="AR472" t="s">
        <v>7559</v>
      </c>
      <c r="AS472" t="s">
        <v>7560</v>
      </c>
      <c r="AT472" t="s">
        <v>7540</v>
      </c>
      <c r="AU472">
        <v>2006</v>
      </c>
      <c r="AV472">
        <v>252</v>
      </c>
      <c r="AW472" t="s">
        <v>1283</v>
      </c>
      <c r="AX472" t="s">
        <v>74</v>
      </c>
      <c r="AY472" t="s">
        <v>74</v>
      </c>
      <c r="AZ472" t="s">
        <v>74</v>
      </c>
      <c r="BA472" t="s">
        <v>74</v>
      </c>
      <c r="BB472">
        <v>223</v>
      </c>
      <c r="BC472">
        <v>244</v>
      </c>
      <c r="BD472" t="s">
        <v>74</v>
      </c>
      <c r="BE472" t="s">
        <v>7561</v>
      </c>
      <c r="BF472" t="str">
        <f>HYPERLINK("http://dx.doi.org/10.1016/j.epsl.2006.09.034","http://dx.doi.org/10.1016/j.epsl.2006.09.034")</f>
        <v>http://dx.doi.org/10.1016/j.epsl.2006.09.034</v>
      </c>
      <c r="BG472" t="s">
        <v>74</v>
      </c>
      <c r="BH472" t="s">
        <v>74</v>
      </c>
      <c r="BI472">
        <v>22</v>
      </c>
      <c r="BJ472" t="s">
        <v>865</v>
      </c>
      <c r="BK472" t="s">
        <v>97</v>
      </c>
      <c r="BL472" t="s">
        <v>865</v>
      </c>
      <c r="BM472" t="s">
        <v>7562</v>
      </c>
      <c r="BN472" t="s">
        <v>74</v>
      </c>
      <c r="BO472" t="s">
        <v>74</v>
      </c>
      <c r="BP472" t="s">
        <v>74</v>
      </c>
      <c r="BQ472" t="s">
        <v>74</v>
      </c>
      <c r="BR472" t="s">
        <v>100</v>
      </c>
      <c r="BS472" t="s">
        <v>7563</v>
      </c>
      <c r="BT472" t="str">
        <f>HYPERLINK("https%3A%2F%2Fwww.webofscience.com%2Fwos%2Fwoscc%2Ffull-record%2FWOS:000243251700001","View Full Record in Web of Science")</f>
        <v>View Full Record in Web of Science</v>
      </c>
    </row>
    <row r="473" spans="1:72" x14ac:dyDescent="0.15">
      <c r="A473" t="s">
        <v>72</v>
      </c>
      <c r="B473" t="s">
        <v>7564</v>
      </c>
      <c r="C473" t="s">
        <v>74</v>
      </c>
      <c r="D473" t="s">
        <v>74</v>
      </c>
      <c r="E473" t="s">
        <v>74</v>
      </c>
      <c r="F473" t="s">
        <v>7565</v>
      </c>
      <c r="G473" t="s">
        <v>74</v>
      </c>
      <c r="H473" t="s">
        <v>74</v>
      </c>
      <c r="I473" t="s">
        <v>7566</v>
      </c>
      <c r="J473" t="s">
        <v>7567</v>
      </c>
      <c r="K473" t="s">
        <v>74</v>
      </c>
      <c r="L473" t="s">
        <v>74</v>
      </c>
      <c r="M473" t="s">
        <v>78</v>
      </c>
      <c r="N473" t="s">
        <v>79</v>
      </c>
      <c r="O473" t="s">
        <v>74</v>
      </c>
      <c r="P473" t="s">
        <v>74</v>
      </c>
      <c r="Q473" t="s">
        <v>74</v>
      </c>
      <c r="R473" t="s">
        <v>74</v>
      </c>
      <c r="S473" t="s">
        <v>74</v>
      </c>
      <c r="T473" t="s">
        <v>74</v>
      </c>
      <c r="U473" t="s">
        <v>7568</v>
      </c>
      <c r="V473" t="s">
        <v>7569</v>
      </c>
      <c r="W473" t="s">
        <v>7570</v>
      </c>
      <c r="X473" t="s">
        <v>7571</v>
      </c>
      <c r="Y473" t="s">
        <v>7572</v>
      </c>
      <c r="Z473" t="s">
        <v>7573</v>
      </c>
      <c r="AA473" t="s">
        <v>7574</v>
      </c>
      <c r="AB473" t="s">
        <v>7575</v>
      </c>
      <c r="AC473" t="s">
        <v>74</v>
      </c>
      <c r="AD473" t="s">
        <v>74</v>
      </c>
      <c r="AE473" t="s">
        <v>74</v>
      </c>
      <c r="AF473" t="s">
        <v>74</v>
      </c>
      <c r="AG473">
        <v>31</v>
      </c>
      <c r="AH473">
        <v>134</v>
      </c>
      <c r="AI473">
        <v>161</v>
      </c>
      <c r="AJ473">
        <v>5</v>
      </c>
      <c r="AK473">
        <v>84</v>
      </c>
      <c r="AL473" t="s">
        <v>7534</v>
      </c>
      <c r="AM473" t="s">
        <v>5498</v>
      </c>
      <c r="AN473" t="s">
        <v>7535</v>
      </c>
      <c r="AO473" t="s">
        <v>7576</v>
      </c>
      <c r="AP473" t="s">
        <v>7577</v>
      </c>
      <c r="AQ473" t="s">
        <v>74</v>
      </c>
      <c r="AR473" t="s">
        <v>7578</v>
      </c>
      <c r="AS473" t="s">
        <v>7579</v>
      </c>
      <c r="AT473" t="s">
        <v>7540</v>
      </c>
      <c r="AU473">
        <v>2006</v>
      </c>
      <c r="AV473">
        <v>40</v>
      </c>
      <c r="AW473">
        <v>24</v>
      </c>
      <c r="AX473" t="s">
        <v>74</v>
      </c>
      <c r="AY473" t="s">
        <v>74</v>
      </c>
      <c r="AZ473" t="s">
        <v>74</v>
      </c>
      <c r="BA473" t="s">
        <v>74</v>
      </c>
      <c r="BB473">
        <v>7642</v>
      </c>
      <c r="BC473">
        <v>7648</v>
      </c>
      <c r="BD473" t="s">
        <v>74</v>
      </c>
      <c r="BE473" t="s">
        <v>7580</v>
      </c>
      <c r="BF473" t="str">
        <f>HYPERLINK("http://dx.doi.org/10.1021/es061513u","http://dx.doi.org/10.1021/es061513u")</f>
        <v>http://dx.doi.org/10.1021/es061513u</v>
      </c>
      <c r="BG473" t="s">
        <v>74</v>
      </c>
      <c r="BH473" t="s">
        <v>74</v>
      </c>
      <c r="BI473">
        <v>7</v>
      </c>
      <c r="BJ473" t="s">
        <v>7581</v>
      </c>
      <c r="BK473" t="s">
        <v>97</v>
      </c>
      <c r="BL473" t="s">
        <v>7582</v>
      </c>
      <c r="BM473" t="s">
        <v>7583</v>
      </c>
      <c r="BN473">
        <v>17256507</v>
      </c>
      <c r="BO473" t="s">
        <v>74</v>
      </c>
      <c r="BP473" t="s">
        <v>74</v>
      </c>
      <c r="BQ473" t="s">
        <v>74</v>
      </c>
      <c r="BR473" t="s">
        <v>100</v>
      </c>
      <c r="BS473" t="s">
        <v>7584</v>
      </c>
      <c r="BT473" t="str">
        <f>HYPERLINK("https%3A%2F%2Fwww.webofscience.com%2Fwos%2Fwoscc%2Ffull-record%2FWOS:000242793400033","View Full Record in Web of Science")</f>
        <v>View Full Record in Web of Science</v>
      </c>
    </row>
    <row r="474" spans="1:72" x14ac:dyDescent="0.15">
      <c r="A474" t="s">
        <v>72</v>
      </c>
      <c r="B474" t="s">
        <v>7585</v>
      </c>
      <c r="C474" t="s">
        <v>74</v>
      </c>
      <c r="D474" t="s">
        <v>74</v>
      </c>
      <c r="E474" t="s">
        <v>74</v>
      </c>
      <c r="F474" t="s">
        <v>7586</v>
      </c>
      <c r="G474" t="s">
        <v>74</v>
      </c>
      <c r="H474" t="s">
        <v>74</v>
      </c>
      <c r="I474" t="s">
        <v>7587</v>
      </c>
      <c r="J474" t="s">
        <v>7567</v>
      </c>
      <c r="K474" t="s">
        <v>74</v>
      </c>
      <c r="L474" t="s">
        <v>74</v>
      </c>
      <c r="M474" t="s">
        <v>78</v>
      </c>
      <c r="N474" t="s">
        <v>79</v>
      </c>
      <c r="O474" t="s">
        <v>74</v>
      </c>
      <c r="P474" t="s">
        <v>74</v>
      </c>
      <c r="Q474" t="s">
        <v>74</v>
      </c>
      <c r="R474" t="s">
        <v>74</v>
      </c>
      <c r="S474" t="s">
        <v>74</v>
      </c>
      <c r="T474" t="s">
        <v>74</v>
      </c>
      <c r="U474" t="s">
        <v>7588</v>
      </c>
      <c r="V474" t="s">
        <v>7589</v>
      </c>
      <c r="W474" t="s">
        <v>7590</v>
      </c>
      <c r="X474" t="s">
        <v>876</v>
      </c>
      <c r="Y474" t="s">
        <v>7591</v>
      </c>
      <c r="Z474" t="s">
        <v>878</v>
      </c>
      <c r="AA474" t="s">
        <v>74</v>
      </c>
      <c r="AB474" t="s">
        <v>74</v>
      </c>
      <c r="AC474" t="s">
        <v>74</v>
      </c>
      <c r="AD474" t="s">
        <v>74</v>
      </c>
      <c r="AE474" t="s">
        <v>74</v>
      </c>
      <c r="AF474" t="s">
        <v>74</v>
      </c>
      <c r="AG474">
        <v>37</v>
      </c>
      <c r="AH474">
        <v>64</v>
      </c>
      <c r="AI474">
        <v>77</v>
      </c>
      <c r="AJ474">
        <v>4</v>
      </c>
      <c r="AK474">
        <v>43</v>
      </c>
      <c r="AL474" t="s">
        <v>7534</v>
      </c>
      <c r="AM474" t="s">
        <v>5498</v>
      </c>
      <c r="AN474" t="s">
        <v>7535</v>
      </c>
      <c r="AO474" t="s">
        <v>7576</v>
      </c>
      <c r="AP474" t="s">
        <v>7577</v>
      </c>
      <c r="AQ474" t="s">
        <v>74</v>
      </c>
      <c r="AR474" t="s">
        <v>7578</v>
      </c>
      <c r="AS474" t="s">
        <v>7579</v>
      </c>
      <c r="AT474" t="s">
        <v>7540</v>
      </c>
      <c r="AU474">
        <v>2006</v>
      </c>
      <c r="AV474">
        <v>40</v>
      </c>
      <c r="AW474">
        <v>24</v>
      </c>
      <c r="AX474" t="s">
        <v>74</v>
      </c>
      <c r="AY474" t="s">
        <v>74</v>
      </c>
      <c r="AZ474" t="s">
        <v>74</v>
      </c>
      <c r="BA474" t="s">
        <v>74</v>
      </c>
      <c r="BB474">
        <v>7656</v>
      </c>
      <c r="BC474">
        <v>7661</v>
      </c>
      <c r="BD474" t="s">
        <v>74</v>
      </c>
      <c r="BE474" t="s">
        <v>7592</v>
      </c>
      <c r="BF474" t="str">
        <f>HYPERLINK("http://dx.doi.org/10.1021/es061601e","http://dx.doi.org/10.1021/es061601e")</f>
        <v>http://dx.doi.org/10.1021/es061601e</v>
      </c>
      <c r="BG474" t="s">
        <v>74</v>
      </c>
      <c r="BH474" t="s">
        <v>74</v>
      </c>
      <c r="BI474">
        <v>6</v>
      </c>
      <c r="BJ474" t="s">
        <v>7581</v>
      </c>
      <c r="BK474" t="s">
        <v>97</v>
      </c>
      <c r="BL474" t="s">
        <v>7582</v>
      </c>
      <c r="BM474" t="s">
        <v>7583</v>
      </c>
      <c r="BN474">
        <v>17256509</v>
      </c>
      <c r="BO474" t="s">
        <v>74</v>
      </c>
      <c r="BP474" t="s">
        <v>74</v>
      </c>
      <c r="BQ474" t="s">
        <v>74</v>
      </c>
      <c r="BR474" t="s">
        <v>100</v>
      </c>
      <c r="BS474" t="s">
        <v>7593</v>
      </c>
      <c r="BT474" t="str">
        <f>HYPERLINK("https%3A%2F%2Fwww.webofscience.com%2Fwos%2Fwoscc%2Ffull-record%2FWOS:000242793400035","View Full Record in Web of Science")</f>
        <v>View Full Record in Web of Science</v>
      </c>
    </row>
    <row r="475" spans="1:72" x14ac:dyDescent="0.15">
      <c r="A475" t="s">
        <v>72</v>
      </c>
      <c r="B475" t="s">
        <v>7594</v>
      </c>
      <c r="C475" t="s">
        <v>74</v>
      </c>
      <c r="D475" t="s">
        <v>74</v>
      </c>
      <c r="E475" t="s">
        <v>74</v>
      </c>
      <c r="F475" t="s">
        <v>7595</v>
      </c>
      <c r="G475" t="s">
        <v>74</v>
      </c>
      <c r="H475" t="s">
        <v>74</v>
      </c>
      <c r="I475" t="s">
        <v>7596</v>
      </c>
      <c r="J475" t="s">
        <v>7231</v>
      </c>
      <c r="K475" t="s">
        <v>74</v>
      </c>
      <c r="L475" t="s">
        <v>74</v>
      </c>
      <c r="M475" t="s">
        <v>78</v>
      </c>
      <c r="N475" t="s">
        <v>366</v>
      </c>
      <c r="O475" t="s">
        <v>74</v>
      </c>
      <c r="P475" t="s">
        <v>74</v>
      </c>
      <c r="Q475" t="s">
        <v>74</v>
      </c>
      <c r="R475" t="s">
        <v>74</v>
      </c>
      <c r="S475" t="s">
        <v>74</v>
      </c>
      <c r="T475" t="s">
        <v>7597</v>
      </c>
      <c r="U475" t="s">
        <v>7598</v>
      </c>
      <c r="V475" t="s">
        <v>7599</v>
      </c>
      <c r="W475" t="s">
        <v>7600</v>
      </c>
      <c r="X475" t="s">
        <v>7601</v>
      </c>
      <c r="Y475" t="s">
        <v>7602</v>
      </c>
      <c r="Z475" t="s">
        <v>7603</v>
      </c>
      <c r="AA475" t="s">
        <v>74</v>
      </c>
      <c r="AB475" t="s">
        <v>7604</v>
      </c>
      <c r="AC475" t="s">
        <v>74</v>
      </c>
      <c r="AD475" t="s">
        <v>74</v>
      </c>
      <c r="AE475" t="s">
        <v>74</v>
      </c>
      <c r="AF475" t="s">
        <v>74</v>
      </c>
      <c r="AG475">
        <v>95</v>
      </c>
      <c r="AH475">
        <v>148</v>
      </c>
      <c r="AI475">
        <v>163</v>
      </c>
      <c r="AJ475">
        <v>2</v>
      </c>
      <c r="AK475">
        <v>39</v>
      </c>
      <c r="AL475" t="s">
        <v>7239</v>
      </c>
      <c r="AM475" t="s">
        <v>5498</v>
      </c>
      <c r="AN475" t="s">
        <v>7240</v>
      </c>
      <c r="AO475" t="s">
        <v>7241</v>
      </c>
      <c r="AP475" t="s">
        <v>74</v>
      </c>
      <c r="AQ475" t="s">
        <v>74</v>
      </c>
      <c r="AR475" t="s">
        <v>7242</v>
      </c>
      <c r="AS475" t="s">
        <v>7243</v>
      </c>
      <c r="AT475" t="s">
        <v>7540</v>
      </c>
      <c r="AU475">
        <v>2006</v>
      </c>
      <c r="AV475">
        <v>7</v>
      </c>
      <c r="AW475" t="s">
        <v>74</v>
      </c>
      <c r="AX475" t="s">
        <v>74</v>
      </c>
      <c r="AY475" t="s">
        <v>74</v>
      </c>
      <c r="AZ475" t="s">
        <v>74</v>
      </c>
      <c r="BA475" t="s">
        <v>74</v>
      </c>
      <c r="BB475" t="s">
        <v>74</v>
      </c>
      <c r="BC475" t="s">
        <v>74</v>
      </c>
      <c r="BD475" t="s">
        <v>7605</v>
      </c>
      <c r="BE475" t="s">
        <v>7606</v>
      </c>
      <c r="BF475" t="str">
        <f>HYPERLINK("http://dx.doi.org/10.1029/2006GC001323","http://dx.doi.org/10.1029/2006GC001323")</f>
        <v>http://dx.doi.org/10.1029/2006GC001323</v>
      </c>
      <c r="BG475" t="s">
        <v>74</v>
      </c>
      <c r="BH475" t="s">
        <v>74</v>
      </c>
      <c r="BI475">
        <v>16</v>
      </c>
      <c r="BJ475" t="s">
        <v>865</v>
      </c>
      <c r="BK475" t="s">
        <v>97</v>
      </c>
      <c r="BL475" t="s">
        <v>865</v>
      </c>
      <c r="BM475" t="s">
        <v>7607</v>
      </c>
      <c r="BN475" t="s">
        <v>74</v>
      </c>
      <c r="BO475" t="s">
        <v>74</v>
      </c>
      <c r="BP475" t="s">
        <v>74</v>
      </c>
      <c r="BQ475" t="s">
        <v>74</v>
      </c>
      <c r="BR475" t="s">
        <v>100</v>
      </c>
      <c r="BS475" t="s">
        <v>7608</v>
      </c>
      <c r="BT475" t="str">
        <f>HYPERLINK("https%3A%2F%2Fwww.webofscience.com%2Fwos%2Fwoscc%2Ffull-record%2FWOS:000242942000001","View Full Record in Web of Science")</f>
        <v>View Full Record in Web of Science</v>
      </c>
    </row>
    <row r="476" spans="1:72" x14ac:dyDescent="0.15">
      <c r="A476" t="s">
        <v>72</v>
      </c>
      <c r="B476" t="s">
        <v>7609</v>
      </c>
      <c r="C476" t="s">
        <v>74</v>
      </c>
      <c r="D476" t="s">
        <v>74</v>
      </c>
      <c r="E476" t="s">
        <v>74</v>
      </c>
      <c r="F476" t="s">
        <v>7610</v>
      </c>
      <c r="G476" t="s">
        <v>74</v>
      </c>
      <c r="H476" t="s">
        <v>74</v>
      </c>
      <c r="I476" t="s">
        <v>7611</v>
      </c>
      <c r="J476" t="s">
        <v>2628</v>
      </c>
      <c r="K476" t="s">
        <v>74</v>
      </c>
      <c r="L476" t="s">
        <v>74</v>
      </c>
      <c r="M476" t="s">
        <v>78</v>
      </c>
      <c r="N476" t="s">
        <v>79</v>
      </c>
      <c r="O476" t="s">
        <v>74</v>
      </c>
      <c r="P476" t="s">
        <v>74</v>
      </c>
      <c r="Q476" t="s">
        <v>74</v>
      </c>
      <c r="R476" t="s">
        <v>74</v>
      </c>
      <c r="S476" t="s">
        <v>74</v>
      </c>
      <c r="T476" t="s">
        <v>74</v>
      </c>
      <c r="U476" t="s">
        <v>7612</v>
      </c>
      <c r="V476" t="s">
        <v>7613</v>
      </c>
      <c r="W476" t="s">
        <v>7614</v>
      </c>
      <c r="X476" t="s">
        <v>7615</v>
      </c>
      <c r="Y476" t="s">
        <v>7616</v>
      </c>
      <c r="Z476" t="s">
        <v>7617</v>
      </c>
      <c r="AA476" t="s">
        <v>7618</v>
      </c>
      <c r="AB476" t="s">
        <v>7619</v>
      </c>
      <c r="AC476" t="s">
        <v>74</v>
      </c>
      <c r="AD476" t="s">
        <v>74</v>
      </c>
      <c r="AE476" t="s">
        <v>74</v>
      </c>
      <c r="AF476" t="s">
        <v>74</v>
      </c>
      <c r="AG476">
        <v>92</v>
      </c>
      <c r="AH476">
        <v>57</v>
      </c>
      <c r="AI476">
        <v>61</v>
      </c>
      <c r="AJ476">
        <v>1</v>
      </c>
      <c r="AK476">
        <v>20</v>
      </c>
      <c r="AL476" t="s">
        <v>817</v>
      </c>
      <c r="AM476" t="s">
        <v>818</v>
      </c>
      <c r="AN476" t="s">
        <v>819</v>
      </c>
      <c r="AO476" t="s">
        <v>2635</v>
      </c>
      <c r="AP476" t="s">
        <v>2636</v>
      </c>
      <c r="AQ476" t="s">
        <v>74</v>
      </c>
      <c r="AR476" t="s">
        <v>2637</v>
      </c>
      <c r="AS476" t="s">
        <v>2638</v>
      </c>
      <c r="AT476" t="s">
        <v>7540</v>
      </c>
      <c r="AU476">
        <v>2006</v>
      </c>
      <c r="AV476">
        <v>70</v>
      </c>
      <c r="AW476">
        <v>24</v>
      </c>
      <c r="AX476" t="s">
        <v>74</v>
      </c>
      <c r="AY476" t="s">
        <v>74</v>
      </c>
      <c r="AZ476" t="s">
        <v>74</v>
      </c>
      <c r="BA476" t="s">
        <v>74</v>
      </c>
      <c r="BB476">
        <v>5957</v>
      </c>
      <c r="BC476">
        <v>5989</v>
      </c>
      <c r="BD476" t="s">
        <v>74</v>
      </c>
      <c r="BE476" t="s">
        <v>7620</v>
      </c>
      <c r="BF476" t="str">
        <f>HYPERLINK("http://dx.doi.org/10.1016/j.gca.2006.05.001","http://dx.doi.org/10.1016/j.gca.2006.05.001")</f>
        <v>http://dx.doi.org/10.1016/j.gca.2006.05.001</v>
      </c>
      <c r="BG476" t="s">
        <v>74</v>
      </c>
      <c r="BH476" t="s">
        <v>74</v>
      </c>
      <c r="BI476">
        <v>33</v>
      </c>
      <c r="BJ476" t="s">
        <v>865</v>
      </c>
      <c r="BK476" t="s">
        <v>97</v>
      </c>
      <c r="BL476" t="s">
        <v>865</v>
      </c>
      <c r="BM476" t="s">
        <v>7621</v>
      </c>
      <c r="BN476" t="s">
        <v>74</v>
      </c>
      <c r="BO476" t="s">
        <v>74</v>
      </c>
      <c r="BP476" t="s">
        <v>74</v>
      </c>
      <c r="BQ476" t="s">
        <v>74</v>
      </c>
      <c r="BR476" t="s">
        <v>100</v>
      </c>
      <c r="BS476" t="s">
        <v>7622</v>
      </c>
      <c r="BT476" t="str">
        <f>HYPERLINK("https%3A%2F%2Fwww.webofscience.com%2Fwos%2Fwoscc%2Ffull-record%2FWOS:000243166200005","View Full Record in Web of Science")</f>
        <v>View Full Record in Web of Science</v>
      </c>
    </row>
    <row r="477" spans="1:72" x14ac:dyDescent="0.15">
      <c r="A477" t="s">
        <v>72</v>
      </c>
      <c r="B477" t="s">
        <v>7623</v>
      </c>
      <c r="C477" t="s">
        <v>74</v>
      </c>
      <c r="D477" t="s">
        <v>74</v>
      </c>
      <c r="E477" t="s">
        <v>74</v>
      </c>
      <c r="F477" t="s">
        <v>7624</v>
      </c>
      <c r="G477" t="s">
        <v>74</v>
      </c>
      <c r="H477" t="s">
        <v>74</v>
      </c>
      <c r="I477" t="s">
        <v>7625</v>
      </c>
      <c r="J477" t="s">
        <v>7626</v>
      </c>
      <c r="K477" t="s">
        <v>74</v>
      </c>
      <c r="L477" t="s">
        <v>74</v>
      </c>
      <c r="M477" t="s">
        <v>78</v>
      </c>
      <c r="N477" t="s">
        <v>79</v>
      </c>
      <c r="O477" t="s">
        <v>74</v>
      </c>
      <c r="P477" t="s">
        <v>74</v>
      </c>
      <c r="Q477" t="s">
        <v>74</v>
      </c>
      <c r="R477" t="s">
        <v>74</v>
      </c>
      <c r="S477" t="s">
        <v>74</v>
      </c>
      <c r="T477" t="s">
        <v>7627</v>
      </c>
      <c r="U477" t="s">
        <v>7628</v>
      </c>
      <c r="V477" t="s">
        <v>7629</v>
      </c>
      <c r="W477" t="s">
        <v>7630</v>
      </c>
      <c r="X477" t="s">
        <v>7631</v>
      </c>
      <c r="Y477" t="s">
        <v>7632</v>
      </c>
      <c r="Z477" t="s">
        <v>7633</v>
      </c>
      <c r="AA477" t="s">
        <v>7634</v>
      </c>
      <c r="AB477" t="s">
        <v>7635</v>
      </c>
      <c r="AC477" t="s">
        <v>74</v>
      </c>
      <c r="AD477" t="s">
        <v>74</v>
      </c>
      <c r="AE477" t="s">
        <v>74</v>
      </c>
      <c r="AF477" t="s">
        <v>74</v>
      </c>
      <c r="AG477">
        <v>29</v>
      </c>
      <c r="AH477">
        <v>27</v>
      </c>
      <c r="AI477">
        <v>31</v>
      </c>
      <c r="AJ477">
        <v>1</v>
      </c>
      <c r="AK477">
        <v>9</v>
      </c>
      <c r="AL477" t="s">
        <v>902</v>
      </c>
      <c r="AM477" t="s">
        <v>903</v>
      </c>
      <c r="AN477" t="s">
        <v>5098</v>
      </c>
      <c r="AO477" t="s">
        <v>7636</v>
      </c>
      <c r="AP477" t="s">
        <v>74</v>
      </c>
      <c r="AQ477" t="s">
        <v>74</v>
      </c>
      <c r="AR477" t="s">
        <v>7637</v>
      </c>
      <c r="AS477" t="s">
        <v>7638</v>
      </c>
      <c r="AT477" t="s">
        <v>7540</v>
      </c>
      <c r="AU477">
        <v>2006</v>
      </c>
      <c r="AV477">
        <v>127</v>
      </c>
      <c r="AW477">
        <v>1</v>
      </c>
      <c r="AX477" t="s">
        <v>74</v>
      </c>
      <c r="AY477" t="s">
        <v>74</v>
      </c>
      <c r="AZ477" t="s">
        <v>74</v>
      </c>
      <c r="BA477" t="s">
        <v>74</v>
      </c>
      <c r="BB477">
        <v>141</v>
      </c>
      <c r="BC477">
        <v>150</v>
      </c>
      <c r="BD477" t="s">
        <v>74</v>
      </c>
      <c r="BE477" t="s">
        <v>7639</v>
      </c>
      <c r="BF477" t="str">
        <f>HYPERLINK("http://dx.doi.org/10.1016/j.jbiotec.2006.05.019","http://dx.doi.org/10.1016/j.jbiotec.2006.05.019")</f>
        <v>http://dx.doi.org/10.1016/j.jbiotec.2006.05.019</v>
      </c>
      <c r="BG477" t="s">
        <v>74</v>
      </c>
      <c r="BH477" t="s">
        <v>74</v>
      </c>
      <c r="BI477">
        <v>10</v>
      </c>
      <c r="BJ477" t="s">
        <v>7640</v>
      </c>
      <c r="BK477" t="s">
        <v>97</v>
      </c>
      <c r="BL477" t="s">
        <v>7640</v>
      </c>
      <c r="BM477" t="s">
        <v>7641</v>
      </c>
      <c r="BN477">
        <v>16859797</v>
      </c>
      <c r="BO477" t="s">
        <v>74</v>
      </c>
      <c r="BP477" t="s">
        <v>74</v>
      </c>
      <c r="BQ477" t="s">
        <v>74</v>
      </c>
      <c r="BR477" t="s">
        <v>100</v>
      </c>
      <c r="BS477" t="s">
        <v>7642</v>
      </c>
      <c r="BT477" t="str">
        <f>HYPERLINK("https%3A%2F%2Fwww.webofscience.com%2Fwos%2Fwoscc%2Ffull-record%2FWOS:000242683100014","View Full Record in Web of Science")</f>
        <v>View Full Record in Web of Science</v>
      </c>
    </row>
    <row r="478" spans="1:72" x14ac:dyDescent="0.15">
      <c r="A478" t="s">
        <v>72</v>
      </c>
      <c r="B478" t="s">
        <v>7643</v>
      </c>
      <c r="C478" t="s">
        <v>74</v>
      </c>
      <c r="D478" t="s">
        <v>74</v>
      </c>
      <c r="E478" t="s">
        <v>74</v>
      </c>
      <c r="F478" t="s">
        <v>7644</v>
      </c>
      <c r="G478" t="s">
        <v>74</v>
      </c>
      <c r="H478" t="s">
        <v>74</v>
      </c>
      <c r="I478" t="s">
        <v>7645</v>
      </c>
      <c r="J478" t="s">
        <v>7646</v>
      </c>
      <c r="K478" t="s">
        <v>74</v>
      </c>
      <c r="L478" t="s">
        <v>74</v>
      </c>
      <c r="M478" t="s">
        <v>78</v>
      </c>
      <c r="N478" t="s">
        <v>79</v>
      </c>
      <c r="O478" t="s">
        <v>74</v>
      </c>
      <c r="P478" t="s">
        <v>74</v>
      </c>
      <c r="Q478" t="s">
        <v>74</v>
      </c>
      <c r="R478" t="s">
        <v>74</v>
      </c>
      <c r="S478" t="s">
        <v>74</v>
      </c>
      <c r="T478" t="s">
        <v>7647</v>
      </c>
      <c r="U478" t="s">
        <v>7648</v>
      </c>
      <c r="V478" t="s">
        <v>7649</v>
      </c>
      <c r="W478" t="s">
        <v>7650</v>
      </c>
      <c r="X478" t="s">
        <v>7651</v>
      </c>
      <c r="Y478" t="s">
        <v>7652</v>
      </c>
      <c r="Z478" t="s">
        <v>112</v>
      </c>
      <c r="AA478" t="s">
        <v>7653</v>
      </c>
      <c r="AB478" t="s">
        <v>7654</v>
      </c>
      <c r="AC478" t="s">
        <v>74</v>
      </c>
      <c r="AD478" t="s">
        <v>74</v>
      </c>
      <c r="AE478" t="s">
        <v>74</v>
      </c>
      <c r="AF478" t="s">
        <v>74</v>
      </c>
      <c r="AG478">
        <v>50</v>
      </c>
      <c r="AH478">
        <v>52</v>
      </c>
      <c r="AI478">
        <v>56</v>
      </c>
      <c r="AJ478">
        <v>1</v>
      </c>
      <c r="AK478">
        <v>23</v>
      </c>
      <c r="AL478" t="s">
        <v>7655</v>
      </c>
      <c r="AM478" t="s">
        <v>222</v>
      </c>
      <c r="AN478" t="s">
        <v>7656</v>
      </c>
      <c r="AO478" t="s">
        <v>7657</v>
      </c>
      <c r="AP478" t="s">
        <v>74</v>
      </c>
      <c r="AQ478" t="s">
        <v>74</v>
      </c>
      <c r="AR478" t="s">
        <v>7658</v>
      </c>
      <c r="AS478" t="s">
        <v>7659</v>
      </c>
      <c r="AT478" t="s">
        <v>7540</v>
      </c>
      <c r="AU478">
        <v>2006</v>
      </c>
      <c r="AV478">
        <v>209</v>
      </c>
      <c r="AW478">
        <v>24</v>
      </c>
      <c r="AX478" t="s">
        <v>74</v>
      </c>
      <c r="AY478" t="s">
        <v>74</v>
      </c>
      <c r="AZ478" t="s">
        <v>74</v>
      </c>
      <c r="BA478" t="s">
        <v>74</v>
      </c>
      <c r="BB478">
        <v>5017</v>
      </c>
      <c r="BC478">
        <v>5028</v>
      </c>
      <c r="BD478" t="s">
        <v>74</v>
      </c>
      <c r="BE478" t="s">
        <v>7660</v>
      </c>
      <c r="BF478" t="str">
        <f>HYPERLINK("http://dx.doi.org/10.1242/jeb.02598","http://dx.doi.org/10.1242/jeb.02598")</f>
        <v>http://dx.doi.org/10.1242/jeb.02598</v>
      </c>
      <c r="BG478" t="s">
        <v>74</v>
      </c>
      <c r="BH478" t="s">
        <v>74</v>
      </c>
      <c r="BI478">
        <v>12</v>
      </c>
      <c r="BJ478" t="s">
        <v>5103</v>
      </c>
      <c r="BK478" t="s">
        <v>97</v>
      </c>
      <c r="BL478" t="s">
        <v>5104</v>
      </c>
      <c r="BM478" t="s">
        <v>7661</v>
      </c>
      <c r="BN478">
        <v>17142690</v>
      </c>
      <c r="BO478" t="s">
        <v>74</v>
      </c>
      <c r="BP478" t="s">
        <v>74</v>
      </c>
      <c r="BQ478" t="s">
        <v>74</v>
      </c>
      <c r="BR478" t="s">
        <v>100</v>
      </c>
      <c r="BS478" t="s">
        <v>7662</v>
      </c>
      <c r="BT478" t="str">
        <f>HYPERLINK("https%3A%2F%2Fwww.webofscience.com%2Fwos%2Fwoscc%2Ffull-record%2FWOS:000242490300025","View Full Record in Web of Science")</f>
        <v>View Full Record in Web of Science</v>
      </c>
    </row>
    <row r="479" spans="1:72" x14ac:dyDescent="0.15">
      <c r="A479" t="s">
        <v>72</v>
      </c>
      <c r="B479" t="s">
        <v>7663</v>
      </c>
      <c r="C479" t="s">
        <v>74</v>
      </c>
      <c r="D479" t="s">
        <v>74</v>
      </c>
      <c r="E479" t="s">
        <v>74</v>
      </c>
      <c r="F479" t="s">
        <v>7664</v>
      </c>
      <c r="G479" t="s">
        <v>74</v>
      </c>
      <c r="H479" t="s">
        <v>74</v>
      </c>
      <c r="I479" t="s">
        <v>7665</v>
      </c>
      <c r="J479" t="s">
        <v>7324</v>
      </c>
      <c r="K479" t="s">
        <v>74</v>
      </c>
      <c r="L479" t="s">
        <v>74</v>
      </c>
      <c r="M479" t="s">
        <v>78</v>
      </c>
      <c r="N479" t="s">
        <v>366</v>
      </c>
      <c r="O479" t="s">
        <v>74</v>
      </c>
      <c r="P479" t="s">
        <v>74</v>
      </c>
      <c r="Q479" t="s">
        <v>74</v>
      </c>
      <c r="R479" t="s">
        <v>74</v>
      </c>
      <c r="S479" t="s">
        <v>74</v>
      </c>
      <c r="T479" t="s">
        <v>74</v>
      </c>
      <c r="U479" t="s">
        <v>7666</v>
      </c>
      <c r="V479" t="s">
        <v>7667</v>
      </c>
      <c r="W479" t="s">
        <v>7668</v>
      </c>
      <c r="X479" t="s">
        <v>1829</v>
      </c>
      <c r="Y479" t="s">
        <v>7669</v>
      </c>
      <c r="Z479" t="s">
        <v>7670</v>
      </c>
      <c r="AA479" t="s">
        <v>74</v>
      </c>
      <c r="AB479" t="s">
        <v>7671</v>
      </c>
      <c r="AC479" t="s">
        <v>74</v>
      </c>
      <c r="AD479" t="s">
        <v>74</v>
      </c>
      <c r="AE479" t="s">
        <v>74</v>
      </c>
      <c r="AF479" t="s">
        <v>74</v>
      </c>
      <c r="AG479">
        <v>111</v>
      </c>
      <c r="AH479">
        <v>171</v>
      </c>
      <c r="AI479">
        <v>177</v>
      </c>
      <c r="AJ479">
        <v>0</v>
      </c>
      <c r="AK479">
        <v>17</v>
      </c>
      <c r="AL479" t="s">
        <v>7239</v>
      </c>
      <c r="AM479" t="s">
        <v>5498</v>
      </c>
      <c r="AN479" t="s">
        <v>7240</v>
      </c>
      <c r="AO479" t="s">
        <v>7333</v>
      </c>
      <c r="AP479" t="s">
        <v>7334</v>
      </c>
      <c r="AQ479" t="s">
        <v>74</v>
      </c>
      <c r="AR479" t="s">
        <v>7335</v>
      </c>
      <c r="AS479" t="s">
        <v>7336</v>
      </c>
      <c r="AT479" t="s">
        <v>7672</v>
      </c>
      <c r="AU479">
        <v>2006</v>
      </c>
      <c r="AV479">
        <v>111</v>
      </c>
      <c r="AW479" t="s">
        <v>7338</v>
      </c>
      <c r="AX479" t="s">
        <v>74</v>
      </c>
      <c r="AY479" t="s">
        <v>74</v>
      </c>
      <c r="AZ479" t="s">
        <v>74</v>
      </c>
      <c r="BA479" t="s">
        <v>74</v>
      </c>
      <c r="BB479" t="s">
        <v>74</v>
      </c>
      <c r="BC479" t="s">
        <v>74</v>
      </c>
      <c r="BD479" t="s">
        <v>7673</v>
      </c>
      <c r="BE479" t="s">
        <v>7674</v>
      </c>
      <c r="BF479" t="str">
        <f>HYPERLINK("http://dx.doi.org/10.1029/2005JB004035","http://dx.doi.org/10.1029/2005JB004035")</f>
        <v>http://dx.doi.org/10.1029/2005JB004035</v>
      </c>
      <c r="BG479" t="s">
        <v>74</v>
      </c>
      <c r="BH479" t="s">
        <v>74</v>
      </c>
      <c r="BI479">
        <v>28</v>
      </c>
      <c r="BJ479" t="s">
        <v>865</v>
      </c>
      <c r="BK479" t="s">
        <v>97</v>
      </c>
      <c r="BL479" t="s">
        <v>865</v>
      </c>
      <c r="BM479" t="s">
        <v>7675</v>
      </c>
      <c r="BN479" t="s">
        <v>74</v>
      </c>
      <c r="BO479" t="s">
        <v>124</v>
      </c>
      <c r="BP479" t="s">
        <v>74</v>
      </c>
      <c r="BQ479" t="s">
        <v>74</v>
      </c>
      <c r="BR479" t="s">
        <v>100</v>
      </c>
      <c r="BS479" t="s">
        <v>7676</v>
      </c>
      <c r="BT479" t="str">
        <f>HYPERLINK("https%3A%2F%2Fwww.webofscience.com%2Fwos%2Fwoscc%2Ffull-record%2FWOS:000242947000003","View Full Record in Web of Science")</f>
        <v>View Full Record in Web of Science</v>
      </c>
    </row>
    <row r="480" spans="1:72" x14ac:dyDescent="0.15">
      <c r="A480" t="s">
        <v>72</v>
      </c>
      <c r="B480" t="s">
        <v>7677</v>
      </c>
      <c r="C480" t="s">
        <v>74</v>
      </c>
      <c r="D480" t="s">
        <v>74</v>
      </c>
      <c r="E480" t="s">
        <v>74</v>
      </c>
      <c r="F480" t="s">
        <v>7678</v>
      </c>
      <c r="G480" t="s">
        <v>74</v>
      </c>
      <c r="H480" t="s">
        <v>74</v>
      </c>
      <c r="I480" t="s">
        <v>7679</v>
      </c>
      <c r="J480" t="s">
        <v>7680</v>
      </c>
      <c r="K480" t="s">
        <v>74</v>
      </c>
      <c r="L480" t="s">
        <v>74</v>
      </c>
      <c r="M480" t="s">
        <v>78</v>
      </c>
      <c r="N480" t="s">
        <v>79</v>
      </c>
      <c r="O480" t="s">
        <v>74</v>
      </c>
      <c r="P480" t="s">
        <v>74</v>
      </c>
      <c r="Q480" t="s">
        <v>74</v>
      </c>
      <c r="R480" t="s">
        <v>74</v>
      </c>
      <c r="S480" t="s">
        <v>74</v>
      </c>
      <c r="T480" t="s">
        <v>74</v>
      </c>
      <c r="U480" t="s">
        <v>7681</v>
      </c>
      <c r="V480" t="s">
        <v>7682</v>
      </c>
      <c r="W480" t="s">
        <v>7683</v>
      </c>
      <c r="X480" t="s">
        <v>7684</v>
      </c>
      <c r="Y480" t="s">
        <v>7685</v>
      </c>
      <c r="Z480" t="s">
        <v>7686</v>
      </c>
      <c r="AA480" t="s">
        <v>7687</v>
      </c>
      <c r="AB480" t="s">
        <v>7688</v>
      </c>
      <c r="AC480" t="s">
        <v>74</v>
      </c>
      <c r="AD480" t="s">
        <v>74</v>
      </c>
      <c r="AE480" t="s">
        <v>74</v>
      </c>
      <c r="AF480" t="s">
        <v>74</v>
      </c>
      <c r="AG480">
        <v>28</v>
      </c>
      <c r="AH480">
        <v>28</v>
      </c>
      <c r="AI480">
        <v>31</v>
      </c>
      <c r="AJ480">
        <v>0</v>
      </c>
      <c r="AK480">
        <v>15</v>
      </c>
      <c r="AL480" t="s">
        <v>7689</v>
      </c>
      <c r="AM480" t="s">
        <v>1197</v>
      </c>
      <c r="AN480" t="s">
        <v>7690</v>
      </c>
      <c r="AO480" t="s">
        <v>7691</v>
      </c>
      <c r="AP480" t="s">
        <v>74</v>
      </c>
      <c r="AQ480" t="s">
        <v>74</v>
      </c>
      <c r="AR480" t="s">
        <v>7692</v>
      </c>
      <c r="AS480" t="s">
        <v>7693</v>
      </c>
      <c r="AT480" t="s">
        <v>7672</v>
      </c>
      <c r="AU480">
        <v>2006</v>
      </c>
      <c r="AV480">
        <v>5</v>
      </c>
      <c r="AW480" t="s">
        <v>74</v>
      </c>
      <c r="AX480" t="s">
        <v>74</v>
      </c>
      <c r="AY480" t="s">
        <v>74</v>
      </c>
      <c r="AZ480" t="s">
        <v>74</v>
      </c>
      <c r="BA480" t="s">
        <v>74</v>
      </c>
      <c r="BB480" t="s">
        <v>74</v>
      </c>
      <c r="BC480" t="s">
        <v>74</v>
      </c>
      <c r="BD480">
        <v>40</v>
      </c>
      <c r="BE480" t="s">
        <v>7694</v>
      </c>
      <c r="BF480" t="str">
        <f>HYPERLINK("http://dx.doi.org/10.1186/1475-2859-5-40","http://dx.doi.org/10.1186/1475-2859-5-40")</f>
        <v>http://dx.doi.org/10.1186/1475-2859-5-40</v>
      </c>
      <c r="BG480" t="s">
        <v>74</v>
      </c>
      <c r="BH480" t="s">
        <v>74</v>
      </c>
      <c r="BI480">
        <v>8</v>
      </c>
      <c r="BJ480" t="s">
        <v>7640</v>
      </c>
      <c r="BK480" t="s">
        <v>97</v>
      </c>
      <c r="BL480" t="s">
        <v>7640</v>
      </c>
      <c r="BM480" t="s">
        <v>7695</v>
      </c>
      <c r="BN480">
        <v>17169153</v>
      </c>
      <c r="BO480" t="s">
        <v>7696</v>
      </c>
      <c r="BP480" t="s">
        <v>74</v>
      </c>
      <c r="BQ480" t="s">
        <v>74</v>
      </c>
      <c r="BR480" t="s">
        <v>100</v>
      </c>
      <c r="BS480" t="s">
        <v>7697</v>
      </c>
      <c r="BT480" t="str">
        <f>HYPERLINK("https%3A%2F%2Fwww.webofscience.com%2Fwos%2Fwoscc%2Ffull-record%2FWOS:000243719400002","View Full Record in Web of Science")</f>
        <v>View Full Record in Web of Science</v>
      </c>
    </row>
    <row r="481" spans="1:72" x14ac:dyDescent="0.15">
      <c r="A481" t="s">
        <v>72</v>
      </c>
      <c r="B481" t="s">
        <v>7698</v>
      </c>
      <c r="C481" t="s">
        <v>74</v>
      </c>
      <c r="D481" t="s">
        <v>74</v>
      </c>
      <c r="E481" t="s">
        <v>74</v>
      </c>
      <c r="F481" t="s">
        <v>7699</v>
      </c>
      <c r="G481" t="s">
        <v>74</v>
      </c>
      <c r="H481" t="s">
        <v>74</v>
      </c>
      <c r="I481" t="s">
        <v>7700</v>
      </c>
      <c r="J481" t="s">
        <v>7701</v>
      </c>
      <c r="K481" t="s">
        <v>74</v>
      </c>
      <c r="L481" t="s">
        <v>74</v>
      </c>
      <c r="M481" t="s">
        <v>78</v>
      </c>
      <c r="N481" t="s">
        <v>79</v>
      </c>
      <c r="O481" t="s">
        <v>74</v>
      </c>
      <c r="P481" t="s">
        <v>74</v>
      </c>
      <c r="Q481" t="s">
        <v>74</v>
      </c>
      <c r="R481" t="s">
        <v>74</v>
      </c>
      <c r="S481" t="s">
        <v>74</v>
      </c>
      <c r="T481" t="s">
        <v>74</v>
      </c>
      <c r="U481" t="s">
        <v>7702</v>
      </c>
      <c r="V481" t="s">
        <v>7703</v>
      </c>
      <c r="W481" t="s">
        <v>7704</v>
      </c>
      <c r="X481" t="s">
        <v>7705</v>
      </c>
      <c r="Y481" t="s">
        <v>7706</v>
      </c>
      <c r="Z481" t="s">
        <v>7707</v>
      </c>
      <c r="AA481" t="s">
        <v>7708</v>
      </c>
      <c r="AB481" t="s">
        <v>7709</v>
      </c>
      <c r="AC481" t="s">
        <v>74</v>
      </c>
      <c r="AD481" t="s">
        <v>74</v>
      </c>
      <c r="AE481" t="s">
        <v>74</v>
      </c>
      <c r="AF481" t="s">
        <v>74</v>
      </c>
      <c r="AG481">
        <v>74</v>
      </c>
      <c r="AH481">
        <v>94</v>
      </c>
      <c r="AI481">
        <v>103</v>
      </c>
      <c r="AJ481">
        <v>0</v>
      </c>
      <c r="AK481">
        <v>14</v>
      </c>
      <c r="AL481" t="s">
        <v>7689</v>
      </c>
      <c r="AM481" t="s">
        <v>1197</v>
      </c>
      <c r="AN481" t="s">
        <v>7690</v>
      </c>
      <c r="AO481" t="s">
        <v>7710</v>
      </c>
      <c r="AP481" t="s">
        <v>74</v>
      </c>
      <c r="AQ481" t="s">
        <v>74</v>
      </c>
      <c r="AR481" t="s">
        <v>7711</v>
      </c>
      <c r="AS481" t="s">
        <v>7712</v>
      </c>
      <c r="AT481" t="s">
        <v>7713</v>
      </c>
      <c r="AU481">
        <v>2006</v>
      </c>
      <c r="AV481">
        <v>6</v>
      </c>
      <c r="AW481" t="s">
        <v>74</v>
      </c>
      <c r="AX481" t="s">
        <v>74</v>
      </c>
      <c r="AY481" t="s">
        <v>74</v>
      </c>
      <c r="AZ481" t="s">
        <v>74</v>
      </c>
      <c r="BA481" t="s">
        <v>74</v>
      </c>
      <c r="BB481" t="s">
        <v>74</v>
      </c>
      <c r="BC481" t="s">
        <v>74</v>
      </c>
      <c r="BD481">
        <v>108</v>
      </c>
      <c r="BE481" t="s">
        <v>7714</v>
      </c>
      <c r="BF481" t="str">
        <f>HYPERLINK("http://dx.doi.org/10.1186/1471-2148-6-108","http://dx.doi.org/10.1186/1471-2148-6-108")</f>
        <v>http://dx.doi.org/10.1186/1471-2148-6-108</v>
      </c>
      <c r="BG481" t="s">
        <v>74</v>
      </c>
      <c r="BH481" t="s">
        <v>74</v>
      </c>
      <c r="BI481">
        <v>16</v>
      </c>
      <c r="BJ481" t="s">
        <v>7715</v>
      </c>
      <c r="BK481" t="s">
        <v>97</v>
      </c>
      <c r="BL481" t="s">
        <v>7715</v>
      </c>
      <c r="BM481" t="s">
        <v>7716</v>
      </c>
      <c r="BN481">
        <v>17166275</v>
      </c>
      <c r="BO481" t="s">
        <v>7717</v>
      </c>
      <c r="BP481" t="s">
        <v>74</v>
      </c>
      <c r="BQ481" t="s">
        <v>74</v>
      </c>
      <c r="BR481" t="s">
        <v>100</v>
      </c>
      <c r="BS481" t="s">
        <v>7718</v>
      </c>
      <c r="BT481" t="str">
        <f>HYPERLINK("https%3A%2F%2Fwww.webofscience.com%2Fwos%2Fwoscc%2Ffull-record%2FWOS:000243293100001","View Full Record in Web of Science")</f>
        <v>View Full Record in Web of Science</v>
      </c>
    </row>
    <row r="482" spans="1:72" x14ac:dyDescent="0.15">
      <c r="A482" t="s">
        <v>72</v>
      </c>
      <c r="B482" t="s">
        <v>7719</v>
      </c>
      <c r="C482" t="s">
        <v>74</v>
      </c>
      <c r="D482" t="s">
        <v>74</v>
      </c>
      <c r="E482" t="s">
        <v>74</v>
      </c>
      <c r="F482" t="s">
        <v>7720</v>
      </c>
      <c r="G482" t="s">
        <v>74</v>
      </c>
      <c r="H482" t="s">
        <v>74</v>
      </c>
      <c r="I482" t="s">
        <v>7721</v>
      </c>
      <c r="J482" t="s">
        <v>7251</v>
      </c>
      <c r="K482" t="s">
        <v>74</v>
      </c>
      <c r="L482" t="s">
        <v>74</v>
      </c>
      <c r="M482" t="s">
        <v>78</v>
      </c>
      <c r="N482" t="s">
        <v>79</v>
      </c>
      <c r="O482" t="s">
        <v>74</v>
      </c>
      <c r="P482" t="s">
        <v>74</v>
      </c>
      <c r="Q482" t="s">
        <v>74</v>
      </c>
      <c r="R482" t="s">
        <v>74</v>
      </c>
      <c r="S482" t="s">
        <v>74</v>
      </c>
      <c r="T482" t="s">
        <v>74</v>
      </c>
      <c r="U482" t="s">
        <v>7722</v>
      </c>
      <c r="V482" t="s">
        <v>7723</v>
      </c>
      <c r="W482" t="s">
        <v>7724</v>
      </c>
      <c r="X482" t="s">
        <v>7725</v>
      </c>
      <c r="Y482" t="s">
        <v>7726</v>
      </c>
      <c r="Z482" t="s">
        <v>7727</v>
      </c>
      <c r="AA482" t="s">
        <v>7728</v>
      </c>
      <c r="AB482" t="s">
        <v>7729</v>
      </c>
      <c r="AC482" t="s">
        <v>74</v>
      </c>
      <c r="AD482" t="s">
        <v>74</v>
      </c>
      <c r="AE482" t="s">
        <v>74</v>
      </c>
      <c r="AF482" t="s">
        <v>74</v>
      </c>
      <c r="AG482">
        <v>37</v>
      </c>
      <c r="AH482">
        <v>12</v>
      </c>
      <c r="AI482">
        <v>12</v>
      </c>
      <c r="AJ482">
        <v>1</v>
      </c>
      <c r="AK482">
        <v>14</v>
      </c>
      <c r="AL482" t="s">
        <v>7239</v>
      </c>
      <c r="AM482" t="s">
        <v>5498</v>
      </c>
      <c r="AN482" t="s">
        <v>7240</v>
      </c>
      <c r="AO482" t="s">
        <v>7257</v>
      </c>
      <c r="AP482" t="s">
        <v>7394</v>
      </c>
      <c r="AQ482" t="s">
        <v>74</v>
      </c>
      <c r="AR482" t="s">
        <v>7258</v>
      </c>
      <c r="AS482" t="s">
        <v>7259</v>
      </c>
      <c r="AT482" t="s">
        <v>7730</v>
      </c>
      <c r="AU482">
        <v>2006</v>
      </c>
      <c r="AV482">
        <v>33</v>
      </c>
      <c r="AW482">
        <v>23</v>
      </c>
      <c r="AX482" t="s">
        <v>74</v>
      </c>
      <c r="AY482" t="s">
        <v>74</v>
      </c>
      <c r="AZ482" t="s">
        <v>74</v>
      </c>
      <c r="BA482" t="s">
        <v>74</v>
      </c>
      <c r="BB482" t="s">
        <v>74</v>
      </c>
      <c r="BC482" t="s">
        <v>74</v>
      </c>
      <c r="BD482" t="s">
        <v>7731</v>
      </c>
      <c r="BE482" t="s">
        <v>7732</v>
      </c>
      <c r="BF482" t="str">
        <f>HYPERLINK("http://dx.doi.org/10.1029/2006GL027344","http://dx.doi.org/10.1029/2006GL027344")</f>
        <v>http://dx.doi.org/10.1029/2006GL027344</v>
      </c>
      <c r="BG482" t="s">
        <v>74</v>
      </c>
      <c r="BH482" t="s">
        <v>74</v>
      </c>
      <c r="BI482">
        <v>5</v>
      </c>
      <c r="BJ482" t="s">
        <v>685</v>
      </c>
      <c r="BK482" t="s">
        <v>97</v>
      </c>
      <c r="BL482" t="s">
        <v>642</v>
      </c>
      <c r="BM482" t="s">
        <v>7733</v>
      </c>
      <c r="BN482" t="s">
        <v>74</v>
      </c>
      <c r="BO482" t="s">
        <v>74</v>
      </c>
      <c r="BP482" t="s">
        <v>74</v>
      </c>
      <c r="BQ482" t="s">
        <v>74</v>
      </c>
      <c r="BR482" t="s">
        <v>100</v>
      </c>
      <c r="BS482" t="s">
        <v>7734</v>
      </c>
      <c r="BT482" t="str">
        <f>HYPERLINK("https%3A%2F%2Fwww.webofscience.com%2Fwos%2Fwoscc%2Ffull-record%2FWOS:000242942100003","View Full Record in Web of Science")</f>
        <v>View Full Record in Web of Science</v>
      </c>
    </row>
    <row r="483" spans="1:72" x14ac:dyDescent="0.15">
      <c r="A483" t="s">
        <v>72</v>
      </c>
      <c r="B483" t="s">
        <v>7735</v>
      </c>
      <c r="C483" t="s">
        <v>74</v>
      </c>
      <c r="D483" t="s">
        <v>74</v>
      </c>
      <c r="E483" t="s">
        <v>74</v>
      </c>
      <c r="F483" t="s">
        <v>7736</v>
      </c>
      <c r="G483" t="s">
        <v>74</v>
      </c>
      <c r="H483" t="s">
        <v>74</v>
      </c>
      <c r="I483" t="s">
        <v>7737</v>
      </c>
      <c r="J483" t="s">
        <v>7251</v>
      </c>
      <c r="K483" t="s">
        <v>74</v>
      </c>
      <c r="L483" t="s">
        <v>74</v>
      </c>
      <c r="M483" t="s">
        <v>78</v>
      </c>
      <c r="N483" t="s">
        <v>79</v>
      </c>
      <c r="O483" t="s">
        <v>74</v>
      </c>
      <c r="P483" t="s">
        <v>74</v>
      </c>
      <c r="Q483" t="s">
        <v>74</v>
      </c>
      <c r="R483" t="s">
        <v>74</v>
      </c>
      <c r="S483" t="s">
        <v>74</v>
      </c>
      <c r="T483" t="s">
        <v>74</v>
      </c>
      <c r="U483" t="s">
        <v>7738</v>
      </c>
      <c r="V483" t="s">
        <v>7739</v>
      </c>
      <c r="W483" t="s">
        <v>7740</v>
      </c>
      <c r="X483" t="s">
        <v>7741</v>
      </c>
      <c r="Y483" t="s">
        <v>7726</v>
      </c>
      <c r="Z483" t="s">
        <v>74</v>
      </c>
      <c r="AA483" t="s">
        <v>7742</v>
      </c>
      <c r="AB483" t="s">
        <v>7743</v>
      </c>
      <c r="AC483" t="s">
        <v>74</v>
      </c>
      <c r="AD483" t="s">
        <v>74</v>
      </c>
      <c r="AE483" t="s">
        <v>74</v>
      </c>
      <c r="AF483" t="s">
        <v>74</v>
      </c>
      <c r="AG483">
        <v>30</v>
      </c>
      <c r="AH483">
        <v>20</v>
      </c>
      <c r="AI483">
        <v>22</v>
      </c>
      <c r="AJ483">
        <v>0</v>
      </c>
      <c r="AK483">
        <v>12</v>
      </c>
      <c r="AL483" t="s">
        <v>7239</v>
      </c>
      <c r="AM483" t="s">
        <v>5498</v>
      </c>
      <c r="AN483" t="s">
        <v>7240</v>
      </c>
      <c r="AO483" t="s">
        <v>7257</v>
      </c>
      <c r="AP483" t="s">
        <v>7394</v>
      </c>
      <c r="AQ483" t="s">
        <v>74</v>
      </c>
      <c r="AR483" t="s">
        <v>7258</v>
      </c>
      <c r="AS483" t="s">
        <v>7259</v>
      </c>
      <c r="AT483" t="s">
        <v>7730</v>
      </c>
      <c r="AU483">
        <v>2006</v>
      </c>
      <c r="AV483">
        <v>33</v>
      </c>
      <c r="AW483">
        <v>23</v>
      </c>
      <c r="AX483" t="s">
        <v>74</v>
      </c>
      <c r="AY483" t="s">
        <v>74</v>
      </c>
      <c r="AZ483" t="s">
        <v>74</v>
      </c>
      <c r="BA483" t="s">
        <v>74</v>
      </c>
      <c r="BB483" t="s">
        <v>74</v>
      </c>
      <c r="BC483" t="s">
        <v>74</v>
      </c>
      <c r="BD483" t="s">
        <v>7744</v>
      </c>
      <c r="BE483" t="s">
        <v>7745</v>
      </c>
      <c r="BF483" t="str">
        <f>HYPERLINK("http://dx.doi.org/10.1029/2006GL027345","http://dx.doi.org/10.1029/2006GL027345")</f>
        <v>http://dx.doi.org/10.1029/2006GL027345</v>
      </c>
      <c r="BG483" t="s">
        <v>74</v>
      </c>
      <c r="BH483" t="s">
        <v>74</v>
      </c>
      <c r="BI483">
        <v>4</v>
      </c>
      <c r="BJ483" t="s">
        <v>685</v>
      </c>
      <c r="BK483" t="s">
        <v>97</v>
      </c>
      <c r="BL483" t="s">
        <v>642</v>
      </c>
      <c r="BM483" t="s">
        <v>7733</v>
      </c>
      <c r="BN483" t="s">
        <v>74</v>
      </c>
      <c r="BO483" t="s">
        <v>74</v>
      </c>
      <c r="BP483" t="s">
        <v>74</v>
      </c>
      <c r="BQ483" t="s">
        <v>74</v>
      </c>
      <c r="BR483" t="s">
        <v>100</v>
      </c>
      <c r="BS483" t="s">
        <v>7746</v>
      </c>
      <c r="BT483" t="str">
        <f>HYPERLINK("https%3A%2F%2Fwww.webofscience.com%2Fwos%2Fwoscc%2Ffull-record%2FWOS:000242942100004","View Full Record in Web of Science")</f>
        <v>View Full Record in Web of Science</v>
      </c>
    </row>
    <row r="484" spans="1:72" x14ac:dyDescent="0.15">
      <c r="A484" t="s">
        <v>72</v>
      </c>
      <c r="B484" t="s">
        <v>7747</v>
      </c>
      <c r="C484" t="s">
        <v>74</v>
      </c>
      <c r="D484" t="s">
        <v>74</v>
      </c>
      <c r="E484" t="s">
        <v>74</v>
      </c>
      <c r="F484" t="s">
        <v>7748</v>
      </c>
      <c r="G484" t="s">
        <v>74</v>
      </c>
      <c r="H484" t="s">
        <v>74</v>
      </c>
      <c r="I484" t="s">
        <v>7749</v>
      </c>
      <c r="J484" t="s">
        <v>7439</v>
      </c>
      <c r="K484" t="s">
        <v>74</v>
      </c>
      <c r="L484" t="s">
        <v>74</v>
      </c>
      <c r="M484" t="s">
        <v>78</v>
      </c>
      <c r="N484" t="s">
        <v>79</v>
      </c>
      <c r="O484" t="s">
        <v>74</v>
      </c>
      <c r="P484" t="s">
        <v>74</v>
      </c>
      <c r="Q484" t="s">
        <v>74</v>
      </c>
      <c r="R484" t="s">
        <v>74</v>
      </c>
      <c r="S484" t="s">
        <v>74</v>
      </c>
      <c r="T484" t="s">
        <v>74</v>
      </c>
      <c r="U484" t="s">
        <v>7750</v>
      </c>
      <c r="V484" t="s">
        <v>7751</v>
      </c>
      <c r="W484" t="s">
        <v>7752</v>
      </c>
      <c r="X484" t="s">
        <v>7753</v>
      </c>
      <c r="Y484" t="s">
        <v>7754</v>
      </c>
      <c r="Z484" t="s">
        <v>7755</v>
      </c>
      <c r="AA484" t="s">
        <v>7756</v>
      </c>
      <c r="AB484" t="s">
        <v>7757</v>
      </c>
      <c r="AC484" t="s">
        <v>7758</v>
      </c>
      <c r="AD484" t="s">
        <v>1254</v>
      </c>
      <c r="AE484" t="s">
        <v>74</v>
      </c>
      <c r="AF484" t="s">
        <v>74</v>
      </c>
      <c r="AG484">
        <v>27</v>
      </c>
      <c r="AH484">
        <v>68</v>
      </c>
      <c r="AI484">
        <v>71</v>
      </c>
      <c r="AJ484">
        <v>0</v>
      </c>
      <c r="AK484">
        <v>14</v>
      </c>
      <c r="AL484" t="s">
        <v>7239</v>
      </c>
      <c r="AM484" t="s">
        <v>5498</v>
      </c>
      <c r="AN484" t="s">
        <v>7240</v>
      </c>
      <c r="AO484" t="s">
        <v>7448</v>
      </c>
      <c r="AP484" t="s">
        <v>7449</v>
      </c>
      <c r="AQ484" t="s">
        <v>74</v>
      </c>
      <c r="AR484" t="s">
        <v>7450</v>
      </c>
      <c r="AS484" t="s">
        <v>7451</v>
      </c>
      <c r="AT484" t="s">
        <v>7730</v>
      </c>
      <c r="AU484">
        <v>2006</v>
      </c>
      <c r="AV484">
        <v>111</v>
      </c>
      <c r="AW484" t="s">
        <v>7759</v>
      </c>
      <c r="AX484" t="s">
        <v>74</v>
      </c>
      <c r="AY484" t="s">
        <v>74</v>
      </c>
      <c r="AZ484" t="s">
        <v>74</v>
      </c>
      <c r="BA484" t="s">
        <v>74</v>
      </c>
      <c r="BB484" t="s">
        <v>74</v>
      </c>
      <c r="BC484" t="s">
        <v>74</v>
      </c>
      <c r="BD484" t="s">
        <v>7760</v>
      </c>
      <c r="BE484" t="s">
        <v>7761</v>
      </c>
      <c r="BF484" t="str">
        <f>HYPERLINK("http://dx.doi.org/10.1029/2005JD006803","http://dx.doi.org/10.1029/2005JD006803")</f>
        <v>http://dx.doi.org/10.1029/2005JD006803</v>
      </c>
      <c r="BG484" t="s">
        <v>74</v>
      </c>
      <c r="BH484" t="s">
        <v>74</v>
      </c>
      <c r="BI484">
        <v>17</v>
      </c>
      <c r="BJ484" t="s">
        <v>3208</v>
      </c>
      <c r="BK484" t="s">
        <v>97</v>
      </c>
      <c r="BL484" t="s">
        <v>3208</v>
      </c>
      <c r="BM484" t="s">
        <v>7762</v>
      </c>
      <c r="BN484" t="s">
        <v>74</v>
      </c>
      <c r="BO484" t="s">
        <v>124</v>
      </c>
      <c r="BP484" t="s">
        <v>74</v>
      </c>
      <c r="BQ484" t="s">
        <v>74</v>
      </c>
      <c r="BR484" t="s">
        <v>100</v>
      </c>
      <c r="BS484" t="s">
        <v>7763</v>
      </c>
      <c r="BT484" t="str">
        <f>HYPERLINK("https%3A%2F%2Fwww.webofscience.com%2Fwos%2Fwoscc%2Ffull-record%2FWOS:000242942700002","View Full Record in Web of Science")</f>
        <v>View Full Record in Web of Science</v>
      </c>
    </row>
    <row r="485" spans="1:72" x14ac:dyDescent="0.15">
      <c r="A485" t="s">
        <v>72</v>
      </c>
      <c r="B485" t="s">
        <v>7764</v>
      </c>
      <c r="C485" t="s">
        <v>74</v>
      </c>
      <c r="D485" t="s">
        <v>74</v>
      </c>
      <c r="E485" t="s">
        <v>74</v>
      </c>
      <c r="F485" t="s">
        <v>7765</v>
      </c>
      <c r="G485" t="s">
        <v>74</v>
      </c>
      <c r="H485" t="s">
        <v>74</v>
      </c>
      <c r="I485" t="s">
        <v>7766</v>
      </c>
      <c r="J485" t="s">
        <v>7287</v>
      </c>
      <c r="K485" t="s">
        <v>74</v>
      </c>
      <c r="L485" t="s">
        <v>74</v>
      </c>
      <c r="M485" t="s">
        <v>78</v>
      </c>
      <c r="N485" t="s">
        <v>79</v>
      </c>
      <c r="O485" t="s">
        <v>74</v>
      </c>
      <c r="P485" t="s">
        <v>74</v>
      </c>
      <c r="Q485" t="s">
        <v>74</v>
      </c>
      <c r="R485" t="s">
        <v>74</v>
      </c>
      <c r="S485" t="s">
        <v>74</v>
      </c>
      <c r="T485" t="s">
        <v>74</v>
      </c>
      <c r="U485" t="s">
        <v>7767</v>
      </c>
      <c r="V485" t="s">
        <v>7768</v>
      </c>
      <c r="W485" t="s">
        <v>7769</v>
      </c>
      <c r="X485" t="s">
        <v>7770</v>
      </c>
      <c r="Y485" t="s">
        <v>7771</v>
      </c>
      <c r="Z485" t="s">
        <v>7772</v>
      </c>
      <c r="AA485" t="s">
        <v>74</v>
      </c>
      <c r="AB485" t="s">
        <v>7773</v>
      </c>
      <c r="AC485" t="s">
        <v>74</v>
      </c>
      <c r="AD485" t="s">
        <v>74</v>
      </c>
      <c r="AE485" t="s">
        <v>74</v>
      </c>
      <c r="AF485" t="s">
        <v>74</v>
      </c>
      <c r="AG485">
        <v>57</v>
      </c>
      <c r="AH485">
        <v>26</v>
      </c>
      <c r="AI485">
        <v>27</v>
      </c>
      <c r="AJ485">
        <v>1</v>
      </c>
      <c r="AK485">
        <v>8</v>
      </c>
      <c r="AL485" t="s">
        <v>7239</v>
      </c>
      <c r="AM485" t="s">
        <v>5498</v>
      </c>
      <c r="AN485" t="s">
        <v>7240</v>
      </c>
      <c r="AO485" t="s">
        <v>7296</v>
      </c>
      <c r="AP485" t="s">
        <v>7297</v>
      </c>
      <c r="AQ485" t="s">
        <v>74</v>
      </c>
      <c r="AR485" t="s">
        <v>7298</v>
      </c>
      <c r="AS485" t="s">
        <v>7299</v>
      </c>
      <c r="AT485" t="s">
        <v>7730</v>
      </c>
      <c r="AU485">
        <v>2006</v>
      </c>
      <c r="AV485">
        <v>111</v>
      </c>
      <c r="AW485" t="s">
        <v>7301</v>
      </c>
      <c r="AX485" t="s">
        <v>74</v>
      </c>
      <c r="AY485" t="s">
        <v>74</v>
      </c>
      <c r="AZ485" t="s">
        <v>74</v>
      </c>
      <c r="BA485" t="s">
        <v>74</v>
      </c>
      <c r="BB485" t="s">
        <v>74</v>
      </c>
      <c r="BC485" t="s">
        <v>74</v>
      </c>
      <c r="BD485" t="s">
        <v>7774</v>
      </c>
      <c r="BE485" t="s">
        <v>7775</v>
      </c>
      <c r="BF485" t="str">
        <f>HYPERLINK("http://dx.doi.org/10.1029/2005JC003212","http://dx.doi.org/10.1029/2005JC003212")</f>
        <v>http://dx.doi.org/10.1029/2005JC003212</v>
      </c>
      <c r="BG485" t="s">
        <v>74</v>
      </c>
      <c r="BH485" t="s">
        <v>74</v>
      </c>
      <c r="BI485">
        <v>11</v>
      </c>
      <c r="BJ485" t="s">
        <v>1260</v>
      </c>
      <c r="BK485" t="s">
        <v>97</v>
      </c>
      <c r="BL485" t="s">
        <v>1260</v>
      </c>
      <c r="BM485" t="s">
        <v>7776</v>
      </c>
      <c r="BN485" t="s">
        <v>74</v>
      </c>
      <c r="BO485" t="s">
        <v>1314</v>
      </c>
      <c r="BP485" t="s">
        <v>74</v>
      </c>
      <c r="BQ485" t="s">
        <v>74</v>
      </c>
      <c r="BR485" t="s">
        <v>100</v>
      </c>
      <c r="BS485" t="s">
        <v>7777</v>
      </c>
      <c r="BT485" t="str">
        <f>HYPERLINK("https%3A%2F%2Fwww.webofscience.com%2Fwos%2Fwoscc%2Ffull-record%2FWOS:000242943800001","View Full Record in Web of Science")</f>
        <v>View Full Record in Web of Science</v>
      </c>
    </row>
    <row r="486" spans="1:72" x14ac:dyDescent="0.15">
      <c r="A486" t="s">
        <v>72</v>
      </c>
      <c r="B486" t="s">
        <v>7778</v>
      </c>
      <c r="C486" t="s">
        <v>74</v>
      </c>
      <c r="D486" t="s">
        <v>74</v>
      </c>
      <c r="E486" t="s">
        <v>74</v>
      </c>
      <c r="F486" t="s">
        <v>7779</v>
      </c>
      <c r="G486" t="s">
        <v>74</v>
      </c>
      <c r="H486" t="s">
        <v>74</v>
      </c>
      <c r="I486" t="s">
        <v>7780</v>
      </c>
      <c r="J486" t="s">
        <v>7781</v>
      </c>
      <c r="K486" t="s">
        <v>74</v>
      </c>
      <c r="L486" t="s">
        <v>74</v>
      </c>
      <c r="M486" t="s">
        <v>78</v>
      </c>
      <c r="N486" t="s">
        <v>79</v>
      </c>
      <c r="O486" t="s">
        <v>74</v>
      </c>
      <c r="P486" t="s">
        <v>74</v>
      </c>
      <c r="Q486" t="s">
        <v>74</v>
      </c>
      <c r="R486" t="s">
        <v>74</v>
      </c>
      <c r="S486" t="s">
        <v>74</v>
      </c>
      <c r="T486" t="s">
        <v>7782</v>
      </c>
      <c r="U486" t="s">
        <v>7783</v>
      </c>
      <c r="V486" t="s">
        <v>7784</v>
      </c>
      <c r="W486" t="s">
        <v>7785</v>
      </c>
      <c r="X486" t="s">
        <v>7786</v>
      </c>
      <c r="Y486" t="s">
        <v>7787</v>
      </c>
      <c r="Z486" t="s">
        <v>7788</v>
      </c>
      <c r="AA486" t="s">
        <v>7789</v>
      </c>
      <c r="AB486" t="s">
        <v>7790</v>
      </c>
      <c r="AC486" t="s">
        <v>74</v>
      </c>
      <c r="AD486" t="s">
        <v>74</v>
      </c>
      <c r="AE486" t="s">
        <v>74</v>
      </c>
      <c r="AF486" t="s">
        <v>74</v>
      </c>
      <c r="AG486">
        <v>30</v>
      </c>
      <c r="AH486">
        <v>35</v>
      </c>
      <c r="AI486">
        <v>37</v>
      </c>
      <c r="AJ486">
        <v>0</v>
      </c>
      <c r="AK486">
        <v>19</v>
      </c>
      <c r="AL486" t="s">
        <v>902</v>
      </c>
      <c r="AM486" t="s">
        <v>903</v>
      </c>
      <c r="AN486" t="s">
        <v>5098</v>
      </c>
      <c r="AO486" t="s">
        <v>7791</v>
      </c>
      <c r="AP486" t="s">
        <v>7792</v>
      </c>
      <c r="AQ486" t="s">
        <v>74</v>
      </c>
      <c r="AR486" t="s">
        <v>7781</v>
      </c>
      <c r="AS486" t="s">
        <v>7793</v>
      </c>
      <c r="AT486" t="s">
        <v>7794</v>
      </c>
      <c r="AU486">
        <v>2006</v>
      </c>
      <c r="AV486">
        <v>261</v>
      </c>
      <c r="AW486">
        <v>4</v>
      </c>
      <c r="AX486" t="s">
        <v>74</v>
      </c>
      <c r="AY486" t="s">
        <v>74</v>
      </c>
      <c r="AZ486" t="s">
        <v>74</v>
      </c>
      <c r="BA486" t="s">
        <v>74</v>
      </c>
      <c r="BB486">
        <v>1299</v>
      </c>
      <c r="BC486">
        <v>1306</v>
      </c>
      <c r="BD486" t="s">
        <v>74</v>
      </c>
      <c r="BE486" t="s">
        <v>7795</v>
      </c>
      <c r="BF486" t="str">
        <f>HYPERLINK("http://dx.doi.org/10.1016/j.aquaculture.2006.07.047","http://dx.doi.org/10.1016/j.aquaculture.2006.07.047")</f>
        <v>http://dx.doi.org/10.1016/j.aquaculture.2006.07.047</v>
      </c>
      <c r="BG486" t="s">
        <v>74</v>
      </c>
      <c r="BH486" t="s">
        <v>74</v>
      </c>
      <c r="BI486">
        <v>8</v>
      </c>
      <c r="BJ486" t="s">
        <v>7796</v>
      </c>
      <c r="BK486" t="s">
        <v>97</v>
      </c>
      <c r="BL486" t="s">
        <v>7796</v>
      </c>
      <c r="BM486" t="s">
        <v>7797</v>
      </c>
      <c r="BN486" t="s">
        <v>74</v>
      </c>
      <c r="BO486" t="s">
        <v>74</v>
      </c>
      <c r="BP486" t="s">
        <v>74</v>
      </c>
      <c r="BQ486" t="s">
        <v>74</v>
      </c>
      <c r="BR486" t="s">
        <v>100</v>
      </c>
      <c r="BS486" t="s">
        <v>7798</v>
      </c>
      <c r="BT486" t="str">
        <f>HYPERLINK("https%3A%2F%2Fwww.webofscience.com%2Fwos%2Fwoscc%2Ffull-record%2FWOS:000243289400023","View Full Record in Web of Science")</f>
        <v>View Full Record in Web of Science</v>
      </c>
    </row>
    <row r="487" spans="1:72" x14ac:dyDescent="0.15">
      <c r="A487" t="s">
        <v>72</v>
      </c>
      <c r="B487" t="s">
        <v>7799</v>
      </c>
      <c r="C487" t="s">
        <v>74</v>
      </c>
      <c r="D487" t="s">
        <v>74</v>
      </c>
      <c r="E487" t="s">
        <v>74</v>
      </c>
      <c r="F487" t="s">
        <v>7800</v>
      </c>
      <c r="G487" t="s">
        <v>74</v>
      </c>
      <c r="H487" t="s">
        <v>74</v>
      </c>
      <c r="I487" t="s">
        <v>7801</v>
      </c>
      <c r="J487" t="s">
        <v>7802</v>
      </c>
      <c r="K487" t="s">
        <v>74</v>
      </c>
      <c r="L487" t="s">
        <v>74</v>
      </c>
      <c r="M487" t="s">
        <v>78</v>
      </c>
      <c r="N487" t="s">
        <v>79</v>
      </c>
      <c r="O487" t="s">
        <v>74</v>
      </c>
      <c r="P487" t="s">
        <v>74</v>
      </c>
      <c r="Q487" t="s">
        <v>74</v>
      </c>
      <c r="R487" t="s">
        <v>74</v>
      </c>
      <c r="S487" t="s">
        <v>74</v>
      </c>
      <c r="T487" t="s">
        <v>7803</v>
      </c>
      <c r="U487" t="s">
        <v>7804</v>
      </c>
      <c r="V487" t="s">
        <v>7805</v>
      </c>
      <c r="W487" t="s">
        <v>74</v>
      </c>
      <c r="X487" t="s">
        <v>74</v>
      </c>
      <c r="Y487" t="s">
        <v>7806</v>
      </c>
      <c r="Z487" t="s">
        <v>7807</v>
      </c>
      <c r="AA487" t="s">
        <v>74</v>
      </c>
      <c r="AB487" t="s">
        <v>7808</v>
      </c>
      <c r="AC487" t="s">
        <v>74</v>
      </c>
      <c r="AD487" t="s">
        <v>74</v>
      </c>
      <c r="AE487" t="s">
        <v>74</v>
      </c>
      <c r="AF487" t="s">
        <v>74</v>
      </c>
      <c r="AG487">
        <v>48</v>
      </c>
      <c r="AH487">
        <v>16</v>
      </c>
      <c r="AI487">
        <v>18</v>
      </c>
      <c r="AJ487">
        <v>1</v>
      </c>
      <c r="AK487">
        <v>11</v>
      </c>
      <c r="AL487" t="s">
        <v>7809</v>
      </c>
      <c r="AM487" t="s">
        <v>7810</v>
      </c>
      <c r="AN487" t="s">
        <v>7811</v>
      </c>
      <c r="AO487" t="s">
        <v>7812</v>
      </c>
      <c r="AP487" t="s">
        <v>74</v>
      </c>
      <c r="AQ487" t="s">
        <v>74</v>
      </c>
      <c r="AR487" t="s">
        <v>7813</v>
      </c>
      <c r="AS487" t="s">
        <v>7814</v>
      </c>
      <c r="AT487" t="s">
        <v>7815</v>
      </c>
      <c r="AU487">
        <v>2006</v>
      </c>
      <c r="AV487">
        <v>91</v>
      </c>
      <c r="AW487">
        <v>11</v>
      </c>
      <c r="AX487" t="s">
        <v>74</v>
      </c>
      <c r="AY487" t="s">
        <v>74</v>
      </c>
      <c r="AZ487" t="s">
        <v>74</v>
      </c>
      <c r="BA487" t="s">
        <v>74</v>
      </c>
      <c r="BB487">
        <v>1495</v>
      </c>
      <c r="BC487">
        <v>1502</v>
      </c>
      <c r="BD487" t="s">
        <v>74</v>
      </c>
      <c r="BE487" t="s">
        <v>74</v>
      </c>
      <c r="BF487" t="s">
        <v>74</v>
      </c>
      <c r="BG487" t="s">
        <v>74</v>
      </c>
      <c r="BH487" t="s">
        <v>74</v>
      </c>
      <c r="BI487">
        <v>8</v>
      </c>
      <c r="BJ487" t="s">
        <v>884</v>
      </c>
      <c r="BK487" t="s">
        <v>97</v>
      </c>
      <c r="BL487" t="s">
        <v>885</v>
      </c>
      <c r="BM487" t="s">
        <v>7816</v>
      </c>
      <c r="BN487" t="s">
        <v>74</v>
      </c>
      <c r="BO487" t="s">
        <v>74</v>
      </c>
      <c r="BP487" t="s">
        <v>74</v>
      </c>
      <c r="BQ487" t="s">
        <v>74</v>
      </c>
      <c r="BR487" t="s">
        <v>100</v>
      </c>
      <c r="BS487" t="s">
        <v>7817</v>
      </c>
      <c r="BT487" t="str">
        <f>HYPERLINK("https%3A%2F%2Fwww.webofscience.com%2Fwos%2Fwoscc%2Ffull-record%2FWOS:000243169700023","View Full Record in Web of Science")</f>
        <v>View Full Record in Web of Science</v>
      </c>
    </row>
    <row r="488" spans="1:72" x14ac:dyDescent="0.15">
      <c r="A488" t="s">
        <v>72</v>
      </c>
      <c r="B488" t="s">
        <v>7818</v>
      </c>
      <c r="C488" t="s">
        <v>74</v>
      </c>
      <c r="D488" t="s">
        <v>74</v>
      </c>
      <c r="E488" t="s">
        <v>74</v>
      </c>
      <c r="F488" t="s">
        <v>7819</v>
      </c>
      <c r="G488" t="s">
        <v>74</v>
      </c>
      <c r="H488" t="s">
        <v>74</v>
      </c>
      <c r="I488" t="s">
        <v>7820</v>
      </c>
      <c r="J488" t="s">
        <v>7287</v>
      </c>
      <c r="K488" t="s">
        <v>74</v>
      </c>
      <c r="L488" t="s">
        <v>74</v>
      </c>
      <c r="M488" t="s">
        <v>78</v>
      </c>
      <c r="N488" t="s">
        <v>7821</v>
      </c>
      <c r="O488" t="s">
        <v>74</v>
      </c>
      <c r="P488" t="s">
        <v>74</v>
      </c>
      <c r="Q488" t="s">
        <v>74</v>
      </c>
      <c r="R488" t="s">
        <v>74</v>
      </c>
      <c r="S488" t="s">
        <v>74</v>
      </c>
      <c r="T488" t="s">
        <v>74</v>
      </c>
      <c r="U488" t="s">
        <v>74</v>
      </c>
      <c r="V488" t="s">
        <v>74</v>
      </c>
      <c r="W488" t="s">
        <v>74</v>
      </c>
      <c r="X488" t="s">
        <v>74</v>
      </c>
      <c r="Y488" t="s">
        <v>74</v>
      </c>
      <c r="Z488" t="s">
        <v>74</v>
      </c>
      <c r="AA488" t="s">
        <v>7822</v>
      </c>
      <c r="AB488" t="s">
        <v>7823</v>
      </c>
      <c r="AC488" t="s">
        <v>74</v>
      </c>
      <c r="AD488" t="s">
        <v>74</v>
      </c>
      <c r="AE488" t="s">
        <v>74</v>
      </c>
      <c r="AF488" t="s">
        <v>74</v>
      </c>
      <c r="AG488">
        <v>1</v>
      </c>
      <c r="AH488">
        <v>2</v>
      </c>
      <c r="AI488">
        <v>2</v>
      </c>
      <c r="AJ488">
        <v>0</v>
      </c>
      <c r="AK488">
        <v>6</v>
      </c>
      <c r="AL488" t="s">
        <v>7239</v>
      </c>
      <c r="AM488" t="s">
        <v>5498</v>
      </c>
      <c r="AN488" t="s">
        <v>7240</v>
      </c>
      <c r="AO488" t="s">
        <v>7296</v>
      </c>
      <c r="AP488" t="s">
        <v>7297</v>
      </c>
      <c r="AQ488" t="s">
        <v>74</v>
      </c>
      <c r="AR488" t="s">
        <v>7298</v>
      </c>
      <c r="AS488" t="s">
        <v>7299</v>
      </c>
      <c r="AT488" t="s">
        <v>7824</v>
      </c>
      <c r="AU488">
        <v>2006</v>
      </c>
      <c r="AV488">
        <v>111</v>
      </c>
      <c r="AW488" t="s">
        <v>7301</v>
      </c>
      <c r="AX488" t="s">
        <v>74</v>
      </c>
      <c r="AY488" t="s">
        <v>74</v>
      </c>
      <c r="AZ488" t="s">
        <v>74</v>
      </c>
      <c r="BA488" t="s">
        <v>74</v>
      </c>
      <c r="BB488" t="s">
        <v>74</v>
      </c>
      <c r="BC488" t="s">
        <v>74</v>
      </c>
      <c r="BD488" t="s">
        <v>7825</v>
      </c>
      <c r="BE488" t="s">
        <v>7826</v>
      </c>
      <c r="BF488" t="str">
        <f>HYPERLINK("http://dx.doi.org/10.1029/2006JC003949","http://dx.doi.org/10.1029/2006JC003949")</f>
        <v>http://dx.doi.org/10.1029/2006JC003949</v>
      </c>
      <c r="BG488" t="s">
        <v>74</v>
      </c>
      <c r="BH488" t="s">
        <v>74</v>
      </c>
      <c r="BI488">
        <v>6</v>
      </c>
      <c r="BJ488" t="s">
        <v>1260</v>
      </c>
      <c r="BK488" t="s">
        <v>97</v>
      </c>
      <c r="BL488" t="s">
        <v>1260</v>
      </c>
      <c r="BM488" t="s">
        <v>7827</v>
      </c>
      <c r="BN488" t="s">
        <v>74</v>
      </c>
      <c r="BO488" t="s">
        <v>124</v>
      </c>
      <c r="BP488" t="s">
        <v>74</v>
      </c>
      <c r="BQ488" t="s">
        <v>74</v>
      </c>
      <c r="BR488" t="s">
        <v>100</v>
      </c>
      <c r="BS488" t="s">
        <v>7828</v>
      </c>
      <c r="BT488" t="str">
        <f>HYPERLINK("https%3A%2F%2Fwww.webofscience.com%2Fwos%2Fwoscc%2Ffull-record%2FWOS:000242755300002","View Full Record in Web of Science")</f>
        <v>View Full Record in Web of Science</v>
      </c>
    </row>
    <row r="489" spans="1:72" x14ac:dyDescent="0.15">
      <c r="A489" t="s">
        <v>72</v>
      </c>
      <c r="B489" t="s">
        <v>7829</v>
      </c>
      <c r="C489" t="s">
        <v>74</v>
      </c>
      <c r="D489" t="s">
        <v>74</v>
      </c>
      <c r="E489" t="s">
        <v>74</v>
      </c>
      <c r="F489" t="s">
        <v>7830</v>
      </c>
      <c r="G489" t="s">
        <v>74</v>
      </c>
      <c r="H489" t="s">
        <v>74</v>
      </c>
      <c r="I489" t="s">
        <v>7831</v>
      </c>
      <c r="J489" t="s">
        <v>7832</v>
      </c>
      <c r="K489" t="s">
        <v>74</v>
      </c>
      <c r="L489" t="s">
        <v>74</v>
      </c>
      <c r="M489" t="s">
        <v>78</v>
      </c>
      <c r="N489" t="s">
        <v>79</v>
      </c>
      <c r="O489" t="s">
        <v>74</v>
      </c>
      <c r="P489" t="s">
        <v>74</v>
      </c>
      <c r="Q489" t="s">
        <v>74</v>
      </c>
      <c r="R489" t="s">
        <v>74</v>
      </c>
      <c r="S489" t="s">
        <v>74</v>
      </c>
      <c r="T489" t="s">
        <v>7833</v>
      </c>
      <c r="U489" t="s">
        <v>7834</v>
      </c>
      <c r="V489" t="s">
        <v>7835</v>
      </c>
      <c r="W489" t="s">
        <v>7836</v>
      </c>
      <c r="X489" t="s">
        <v>7837</v>
      </c>
      <c r="Y489" t="s">
        <v>7838</v>
      </c>
      <c r="Z489" t="s">
        <v>7839</v>
      </c>
      <c r="AA489" t="s">
        <v>7840</v>
      </c>
      <c r="AB489" t="s">
        <v>7841</v>
      </c>
      <c r="AC489" t="s">
        <v>7842</v>
      </c>
      <c r="AD489" t="s">
        <v>1254</v>
      </c>
      <c r="AE489" t="s">
        <v>74</v>
      </c>
      <c r="AF489" t="s">
        <v>74</v>
      </c>
      <c r="AG489">
        <v>67</v>
      </c>
      <c r="AH489">
        <v>55</v>
      </c>
      <c r="AI489">
        <v>60</v>
      </c>
      <c r="AJ489">
        <v>0</v>
      </c>
      <c r="AK489">
        <v>8</v>
      </c>
      <c r="AL489" t="s">
        <v>2829</v>
      </c>
      <c r="AM489" t="s">
        <v>903</v>
      </c>
      <c r="AN489" t="s">
        <v>2830</v>
      </c>
      <c r="AO489" t="s">
        <v>7843</v>
      </c>
      <c r="AP489" t="s">
        <v>7844</v>
      </c>
      <c r="AQ489" t="s">
        <v>74</v>
      </c>
      <c r="AR489" t="s">
        <v>7845</v>
      </c>
      <c r="AS489" t="s">
        <v>7846</v>
      </c>
      <c r="AT489" t="s">
        <v>7847</v>
      </c>
      <c r="AU489">
        <v>2006</v>
      </c>
      <c r="AV489">
        <v>242</v>
      </c>
      <c r="AW489" t="s">
        <v>1283</v>
      </c>
      <c r="AX489" t="s">
        <v>74</v>
      </c>
      <c r="AY489" t="s">
        <v>74</v>
      </c>
      <c r="AZ489" t="s">
        <v>74</v>
      </c>
      <c r="BA489" t="s">
        <v>74</v>
      </c>
      <c r="BB489">
        <v>169</v>
      </c>
      <c r="BC489">
        <v>187</v>
      </c>
      <c r="BD489" t="s">
        <v>74</v>
      </c>
      <c r="BE489" t="s">
        <v>7848</v>
      </c>
      <c r="BF489" t="str">
        <f>HYPERLINK("http://dx.doi.org/10.1016/j.palaeo.2006.06.003","http://dx.doi.org/10.1016/j.palaeo.2006.06.003")</f>
        <v>http://dx.doi.org/10.1016/j.palaeo.2006.06.003</v>
      </c>
      <c r="BG489" t="s">
        <v>74</v>
      </c>
      <c r="BH489" t="s">
        <v>74</v>
      </c>
      <c r="BI489">
        <v>19</v>
      </c>
      <c r="BJ489" t="s">
        <v>7849</v>
      </c>
      <c r="BK489" t="s">
        <v>97</v>
      </c>
      <c r="BL489" t="s">
        <v>7850</v>
      </c>
      <c r="BM489" t="s">
        <v>7851</v>
      </c>
      <c r="BN489" t="s">
        <v>74</v>
      </c>
      <c r="BO489" t="s">
        <v>74</v>
      </c>
      <c r="BP489" t="s">
        <v>74</v>
      </c>
      <c r="BQ489" t="s">
        <v>74</v>
      </c>
      <c r="BR489" t="s">
        <v>100</v>
      </c>
      <c r="BS489" t="s">
        <v>7852</v>
      </c>
      <c r="BT489" t="str">
        <f>HYPERLINK("https%3A%2F%2Fwww.webofscience.com%2Fwos%2Fwoscc%2Ffull-record%2FWOS:000243094600002","View Full Record in Web of Science")</f>
        <v>View Full Record in Web of Science</v>
      </c>
    </row>
    <row r="490" spans="1:72" x14ac:dyDescent="0.15">
      <c r="A490" t="s">
        <v>72</v>
      </c>
      <c r="B490" t="s">
        <v>7853</v>
      </c>
      <c r="C490" t="s">
        <v>74</v>
      </c>
      <c r="D490" t="s">
        <v>74</v>
      </c>
      <c r="E490" t="s">
        <v>74</v>
      </c>
      <c r="F490" t="s">
        <v>7854</v>
      </c>
      <c r="G490" t="s">
        <v>74</v>
      </c>
      <c r="H490" t="s">
        <v>74</v>
      </c>
      <c r="I490" t="s">
        <v>7855</v>
      </c>
      <c r="J490" t="s">
        <v>7832</v>
      </c>
      <c r="K490" t="s">
        <v>74</v>
      </c>
      <c r="L490" t="s">
        <v>74</v>
      </c>
      <c r="M490" t="s">
        <v>78</v>
      </c>
      <c r="N490" t="s">
        <v>79</v>
      </c>
      <c r="O490" t="s">
        <v>74</v>
      </c>
      <c r="P490" t="s">
        <v>74</v>
      </c>
      <c r="Q490" t="s">
        <v>74</v>
      </c>
      <c r="R490" t="s">
        <v>74</v>
      </c>
      <c r="S490" t="s">
        <v>74</v>
      </c>
      <c r="T490" t="s">
        <v>7856</v>
      </c>
      <c r="U490" t="s">
        <v>7857</v>
      </c>
      <c r="V490" t="s">
        <v>7858</v>
      </c>
      <c r="W490" t="s">
        <v>7859</v>
      </c>
      <c r="X490" t="s">
        <v>7860</v>
      </c>
      <c r="Y490" t="s">
        <v>7861</v>
      </c>
      <c r="Z490" t="s">
        <v>7862</v>
      </c>
      <c r="AA490" t="s">
        <v>7863</v>
      </c>
      <c r="AB490" t="s">
        <v>7864</v>
      </c>
      <c r="AC490" t="s">
        <v>3794</v>
      </c>
      <c r="AD490" t="s">
        <v>158</v>
      </c>
      <c r="AE490" t="s">
        <v>74</v>
      </c>
      <c r="AF490" t="s">
        <v>74</v>
      </c>
      <c r="AG490">
        <v>59</v>
      </c>
      <c r="AH490">
        <v>46</v>
      </c>
      <c r="AI490">
        <v>49</v>
      </c>
      <c r="AJ490">
        <v>4</v>
      </c>
      <c r="AK490">
        <v>42</v>
      </c>
      <c r="AL490" t="s">
        <v>2829</v>
      </c>
      <c r="AM490" t="s">
        <v>903</v>
      </c>
      <c r="AN490" t="s">
        <v>2830</v>
      </c>
      <c r="AO490" t="s">
        <v>7843</v>
      </c>
      <c r="AP490" t="s">
        <v>7844</v>
      </c>
      <c r="AQ490" t="s">
        <v>74</v>
      </c>
      <c r="AR490" t="s">
        <v>7845</v>
      </c>
      <c r="AS490" t="s">
        <v>7846</v>
      </c>
      <c r="AT490" t="s">
        <v>7847</v>
      </c>
      <c r="AU490">
        <v>2006</v>
      </c>
      <c r="AV490">
        <v>242</v>
      </c>
      <c r="AW490" t="s">
        <v>1283</v>
      </c>
      <c r="AX490" t="s">
        <v>74</v>
      </c>
      <c r="AY490" t="s">
        <v>74</v>
      </c>
      <c r="AZ490" t="s">
        <v>74</v>
      </c>
      <c r="BA490" t="s">
        <v>74</v>
      </c>
      <c r="BB490">
        <v>240</v>
      </c>
      <c r="BC490">
        <v>252</v>
      </c>
      <c r="BD490" t="s">
        <v>74</v>
      </c>
      <c r="BE490" t="s">
        <v>7865</v>
      </c>
      <c r="BF490" t="str">
        <f>HYPERLINK("http://dx.doi.org/10.1016/j.palaeo.2006.06.001","http://dx.doi.org/10.1016/j.palaeo.2006.06.001")</f>
        <v>http://dx.doi.org/10.1016/j.palaeo.2006.06.001</v>
      </c>
      <c r="BG490" t="s">
        <v>74</v>
      </c>
      <c r="BH490" t="s">
        <v>74</v>
      </c>
      <c r="BI490">
        <v>13</v>
      </c>
      <c r="BJ490" t="s">
        <v>7849</v>
      </c>
      <c r="BK490" t="s">
        <v>97</v>
      </c>
      <c r="BL490" t="s">
        <v>7850</v>
      </c>
      <c r="BM490" t="s">
        <v>7851</v>
      </c>
      <c r="BN490" t="s">
        <v>74</v>
      </c>
      <c r="BO490" t="s">
        <v>1314</v>
      </c>
      <c r="BP490" t="s">
        <v>74</v>
      </c>
      <c r="BQ490" t="s">
        <v>74</v>
      </c>
      <c r="BR490" t="s">
        <v>100</v>
      </c>
      <c r="BS490" t="s">
        <v>7866</v>
      </c>
      <c r="BT490" t="str">
        <f>HYPERLINK("https%3A%2F%2Fwww.webofscience.com%2Fwos%2Fwoscc%2Ffull-record%2FWOS:000243094600006","View Full Record in Web of Science")</f>
        <v>View Full Record in Web of Science</v>
      </c>
    </row>
    <row r="491" spans="1:72" x14ac:dyDescent="0.15">
      <c r="A491" t="s">
        <v>72</v>
      </c>
      <c r="B491" t="s">
        <v>7867</v>
      </c>
      <c r="C491" t="s">
        <v>74</v>
      </c>
      <c r="D491" t="s">
        <v>74</v>
      </c>
      <c r="E491" t="s">
        <v>74</v>
      </c>
      <c r="F491" t="s">
        <v>7868</v>
      </c>
      <c r="G491" t="s">
        <v>74</v>
      </c>
      <c r="H491" t="s">
        <v>74</v>
      </c>
      <c r="I491" t="s">
        <v>7869</v>
      </c>
      <c r="J491" t="s">
        <v>342</v>
      </c>
      <c r="K491" t="s">
        <v>74</v>
      </c>
      <c r="L491" t="s">
        <v>74</v>
      </c>
      <c r="M491" t="s">
        <v>78</v>
      </c>
      <c r="N491" t="s">
        <v>79</v>
      </c>
      <c r="O491" t="s">
        <v>74</v>
      </c>
      <c r="P491" t="s">
        <v>74</v>
      </c>
      <c r="Q491" t="s">
        <v>74</v>
      </c>
      <c r="R491" t="s">
        <v>74</v>
      </c>
      <c r="S491" t="s">
        <v>74</v>
      </c>
      <c r="T491" t="s">
        <v>74</v>
      </c>
      <c r="U491" t="s">
        <v>7870</v>
      </c>
      <c r="V491" t="s">
        <v>7871</v>
      </c>
      <c r="W491" t="s">
        <v>7872</v>
      </c>
      <c r="X491" t="s">
        <v>7873</v>
      </c>
      <c r="Y491" t="s">
        <v>7874</v>
      </c>
      <c r="Z491" t="s">
        <v>7875</v>
      </c>
      <c r="AA491" t="s">
        <v>7876</v>
      </c>
      <c r="AB491" t="s">
        <v>7877</v>
      </c>
      <c r="AC491" t="s">
        <v>74</v>
      </c>
      <c r="AD491" t="s">
        <v>74</v>
      </c>
      <c r="AE491" t="s">
        <v>74</v>
      </c>
      <c r="AF491" t="s">
        <v>74</v>
      </c>
      <c r="AG491">
        <v>91</v>
      </c>
      <c r="AH491">
        <v>81</v>
      </c>
      <c r="AI491">
        <v>85</v>
      </c>
      <c r="AJ491">
        <v>0</v>
      </c>
      <c r="AK491">
        <v>6</v>
      </c>
      <c r="AL491" t="s">
        <v>351</v>
      </c>
      <c r="AM491" t="s">
        <v>352</v>
      </c>
      <c r="AN491" t="s">
        <v>353</v>
      </c>
      <c r="AO491" t="s">
        <v>354</v>
      </c>
      <c r="AP491" t="s">
        <v>355</v>
      </c>
      <c r="AQ491" t="s">
        <v>74</v>
      </c>
      <c r="AR491" t="s">
        <v>356</v>
      </c>
      <c r="AS491" t="s">
        <v>357</v>
      </c>
      <c r="AT491" t="s">
        <v>7878</v>
      </c>
      <c r="AU491">
        <v>2006</v>
      </c>
      <c r="AV491">
        <v>6</v>
      </c>
      <c r="AW491" t="s">
        <v>74</v>
      </c>
      <c r="AX491" t="s">
        <v>74</v>
      </c>
      <c r="AY491" t="s">
        <v>74</v>
      </c>
      <c r="AZ491" t="s">
        <v>74</v>
      </c>
      <c r="BA491" t="s">
        <v>74</v>
      </c>
      <c r="BB491">
        <v>5445</v>
      </c>
      <c r="BC491">
        <v>5474</v>
      </c>
      <c r="BD491" t="s">
        <v>74</v>
      </c>
      <c r="BE491" t="s">
        <v>7879</v>
      </c>
      <c r="BF491" t="str">
        <f>HYPERLINK("http://dx.doi.org/10.5194/acp-6-5445-2006","http://dx.doi.org/10.5194/acp-6-5445-2006")</f>
        <v>http://dx.doi.org/10.5194/acp-6-5445-2006</v>
      </c>
      <c r="BG491" t="s">
        <v>74</v>
      </c>
      <c r="BH491" t="s">
        <v>74</v>
      </c>
      <c r="BI491">
        <v>30</v>
      </c>
      <c r="BJ491" t="s">
        <v>359</v>
      </c>
      <c r="BK491" t="s">
        <v>97</v>
      </c>
      <c r="BL491" t="s">
        <v>360</v>
      </c>
      <c r="BM491" t="s">
        <v>7880</v>
      </c>
      <c r="BN491" t="s">
        <v>74</v>
      </c>
      <c r="BO491" t="s">
        <v>337</v>
      </c>
      <c r="BP491" t="s">
        <v>74</v>
      </c>
      <c r="BQ491" t="s">
        <v>74</v>
      </c>
      <c r="BR491" t="s">
        <v>100</v>
      </c>
      <c r="BS491" t="s">
        <v>7881</v>
      </c>
      <c r="BT491" t="str">
        <f>HYPERLINK("https%3A%2F%2Fwww.webofscience.com%2Fwos%2Fwoscc%2Ffull-record%2FWOS:000242646800003","View Full Record in Web of Science")</f>
        <v>View Full Record in Web of Science</v>
      </c>
    </row>
    <row r="492" spans="1:72" x14ac:dyDescent="0.15">
      <c r="A492" t="s">
        <v>72</v>
      </c>
      <c r="B492" t="s">
        <v>7882</v>
      </c>
      <c r="C492" t="s">
        <v>74</v>
      </c>
      <c r="D492" t="s">
        <v>74</v>
      </c>
      <c r="E492" t="s">
        <v>74</v>
      </c>
      <c r="F492" t="s">
        <v>7883</v>
      </c>
      <c r="G492" t="s">
        <v>74</v>
      </c>
      <c r="H492" t="s">
        <v>74</v>
      </c>
      <c r="I492" t="s">
        <v>7884</v>
      </c>
      <c r="J492" t="s">
        <v>7251</v>
      </c>
      <c r="K492" t="s">
        <v>74</v>
      </c>
      <c r="L492" t="s">
        <v>74</v>
      </c>
      <c r="M492" t="s">
        <v>78</v>
      </c>
      <c r="N492" t="s">
        <v>79</v>
      </c>
      <c r="O492" t="s">
        <v>74</v>
      </c>
      <c r="P492" t="s">
        <v>74</v>
      </c>
      <c r="Q492" t="s">
        <v>74</v>
      </c>
      <c r="R492" t="s">
        <v>74</v>
      </c>
      <c r="S492" t="s">
        <v>74</v>
      </c>
      <c r="T492" t="s">
        <v>74</v>
      </c>
      <c r="U492" t="s">
        <v>7885</v>
      </c>
      <c r="V492" t="s">
        <v>7886</v>
      </c>
      <c r="W492" t="s">
        <v>7887</v>
      </c>
      <c r="X492" t="s">
        <v>7888</v>
      </c>
      <c r="Y492" t="s">
        <v>7889</v>
      </c>
      <c r="Z492" t="s">
        <v>7890</v>
      </c>
      <c r="AA492" t="s">
        <v>7891</v>
      </c>
      <c r="AB492" t="s">
        <v>7892</v>
      </c>
      <c r="AC492" t="s">
        <v>74</v>
      </c>
      <c r="AD492" t="s">
        <v>74</v>
      </c>
      <c r="AE492" t="s">
        <v>74</v>
      </c>
      <c r="AF492" t="s">
        <v>74</v>
      </c>
      <c r="AG492">
        <v>30</v>
      </c>
      <c r="AH492">
        <v>357</v>
      </c>
      <c r="AI492">
        <v>392</v>
      </c>
      <c r="AJ492">
        <v>1</v>
      </c>
      <c r="AK492">
        <v>74</v>
      </c>
      <c r="AL492" t="s">
        <v>7239</v>
      </c>
      <c r="AM492" t="s">
        <v>5498</v>
      </c>
      <c r="AN492" t="s">
        <v>7240</v>
      </c>
      <c r="AO492" t="s">
        <v>7257</v>
      </c>
      <c r="AP492" t="s">
        <v>7394</v>
      </c>
      <c r="AQ492" t="s">
        <v>74</v>
      </c>
      <c r="AR492" t="s">
        <v>7258</v>
      </c>
      <c r="AS492" t="s">
        <v>7259</v>
      </c>
      <c r="AT492" t="s">
        <v>7878</v>
      </c>
      <c r="AU492">
        <v>2006</v>
      </c>
      <c r="AV492">
        <v>33</v>
      </c>
      <c r="AW492">
        <v>23</v>
      </c>
      <c r="AX492" t="s">
        <v>74</v>
      </c>
      <c r="AY492" t="s">
        <v>74</v>
      </c>
      <c r="AZ492" t="s">
        <v>74</v>
      </c>
      <c r="BA492" t="s">
        <v>74</v>
      </c>
      <c r="BB492" t="s">
        <v>74</v>
      </c>
      <c r="BC492" t="s">
        <v>74</v>
      </c>
      <c r="BD492" t="s">
        <v>7893</v>
      </c>
      <c r="BE492" t="s">
        <v>7894</v>
      </c>
      <c r="BF492" t="str">
        <f>HYPERLINK("http://dx.doi.org/10.1029/2006GL027721","http://dx.doi.org/10.1029/2006GL027721")</f>
        <v>http://dx.doi.org/10.1029/2006GL027721</v>
      </c>
      <c r="BG492" t="s">
        <v>74</v>
      </c>
      <c r="BH492" t="s">
        <v>74</v>
      </c>
      <c r="BI492">
        <v>4</v>
      </c>
      <c r="BJ492" t="s">
        <v>685</v>
      </c>
      <c r="BK492" t="s">
        <v>97</v>
      </c>
      <c r="BL492" t="s">
        <v>642</v>
      </c>
      <c r="BM492" t="s">
        <v>7895</v>
      </c>
      <c r="BN492" t="s">
        <v>74</v>
      </c>
      <c r="BO492" t="s">
        <v>124</v>
      </c>
      <c r="BP492" t="s">
        <v>74</v>
      </c>
      <c r="BQ492" t="s">
        <v>74</v>
      </c>
      <c r="BR492" t="s">
        <v>100</v>
      </c>
      <c r="BS492" t="s">
        <v>7896</v>
      </c>
      <c r="BT492" t="str">
        <f>HYPERLINK("https%3A%2F%2Fwww.webofscience.com%2Fwos%2Fwoscc%2Ffull-record%2FWOS:000242751800006","View Full Record in Web of Science")</f>
        <v>View Full Record in Web of Science</v>
      </c>
    </row>
    <row r="493" spans="1:72" x14ac:dyDescent="0.15">
      <c r="A493" t="s">
        <v>72</v>
      </c>
      <c r="B493" t="s">
        <v>7897</v>
      </c>
      <c r="C493" t="s">
        <v>74</v>
      </c>
      <c r="D493" t="s">
        <v>74</v>
      </c>
      <c r="E493" t="s">
        <v>74</v>
      </c>
      <c r="F493" t="s">
        <v>7898</v>
      </c>
      <c r="G493" t="s">
        <v>74</v>
      </c>
      <c r="H493" t="s">
        <v>74</v>
      </c>
      <c r="I493" t="s">
        <v>7899</v>
      </c>
      <c r="J493" t="s">
        <v>7900</v>
      </c>
      <c r="K493" t="s">
        <v>74</v>
      </c>
      <c r="L493" t="s">
        <v>74</v>
      </c>
      <c r="M493" t="s">
        <v>78</v>
      </c>
      <c r="N493" t="s">
        <v>4036</v>
      </c>
      <c r="O493" t="s">
        <v>74</v>
      </c>
      <c r="P493" t="s">
        <v>74</v>
      </c>
      <c r="Q493" t="s">
        <v>74</v>
      </c>
      <c r="R493" t="s">
        <v>74</v>
      </c>
      <c r="S493" t="s">
        <v>74</v>
      </c>
      <c r="T493" t="s">
        <v>74</v>
      </c>
      <c r="U493" t="s">
        <v>74</v>
      </c>
      <c r="V493" t="s">
        <v>74</v>
      </c>
      <c r="W493" t="s">
        <v>74</v>
      </c>
      <c r="X493" t="s">
        <v>74</v>
      </c>
      <c r="Y493" t="s">
        <v>74</v>
      </c>
      <c r="Z493" t="s">
        <v>74</v>
      </c>
      <c r="AA493" t="s">
        <v>74</v>
      </c>
      <c r="AB493" t="s">
        <v>74</v>
      </c>
      <c r="AC493" t="s">
        <v>74</v>
      </c>
      <c r="AD493" t="s">
        <v>74</v>
      </c>
      <c r="AE493" t="s">
        <v>74</v>
      </c>
      <c r="AF493" t="s">
        <v>74</v>
      </c>
      <c r="AG493">
        <v>1</v>
      </c>
      <c r="AH493">
        <v>0</v>
      </c>
      <c r="AI493">
        <v>0</v>
      </c>
      <c r="AJ493">
        <v>0</v>
      </c>
      <c r="AK493">
        <v>0</v>
      </c>
      <c r="AL493" t="s">
        <v>7901</v>
      </c>
      <c r="AM493" t="s">
        <v>678</v>
      </c>
      <c r="AN493" t="s">
        <v>7902</v>
      </c>
      <c r="AO493" t="s">
        <v>7903</v>
      </c>
      <c r="AP493" t="s">
        <v>74</v>
      </c>
      <c r="AQ493" t="s">
        <v>74</v>
      </c>
      <c r="AR493" t="s">
        <v>7904</v>
      </c>
      <c r="AS493" t="s">
        <v>7905</v>
      </c>
      <c r="AT493" t="s">
        <v>7906</v>
      </c>
      <c r="AU493">
        <v>2006</v>
      </c>
      <c r="AV493" t="s">
        <v>74</v>
      </c>
      <c r="AW493" t="s">
        <v>74</v>
      </c>
      <c r="AX493" t="s">
        <v>74</v>
      </c>
      <c r="AY493" t="s">
        <v>74</v>
      </c>
      <c r="AZ493" t="s">
        <v>74</v>
      </c>
      <c r="BA493" t="s">
        <v>74</v>
      </c>
      <c r="BB493">
        <v>54</v>
      </c>
      <c r="BC493">
        <v>55</v>
      </c>
      <c r="BD493" t="s">
        <v>74</v>
      </c>
      <c r="BE493" t="s">
        <v>74</v>
      </c>
      <c r="BF493" t="s">
        <v>74</v>
      </c>
      <c r="BG493" t="s">
        <v>74</v>
      </c>
      <c r="BH493" t="s">
        <v>74</v>
      </c>
      <c r="BI493">
        <v>2</v>
      </c>
      <c r="BJ493" t="s">
        <v>7907</v>
      </c>
      <c r="BK493" t="s">
        <v>5045</v>
      </c>
      <c r="BL493" t="s">
        <v>7908</v>
      </c>
      <c r="BM493" t="s">
        <v>7909</v>
      </c>
      <c r="BN493" t="s">
        <v>74</v>
      </c>
      <c r="BO493" t="s">
        <v>74</v>
      </c>
      <c r="BP493" t="s">
        <v>74</v>
      </c>
      <c r="BQ493" t="s">
        <v>74</v>
      </c>
      <c r="BR493" t="s">
        <v>100</v>
      </c>
      <c r="BS493" t="s">
        <v>7910</v>
      </c>
      <c r="BT493" t="str">
        <f>HYPERLINK("https%3A%2F%2Fwww.webofscience.com%2Fwos%2Fwoscc%2Ffull-record%2FWOS:000242345500065","View Full Record in Web of Science")</f>
        <v>View Full Record in Web of Science</v>
      </c>
    </row>
    <row r="494" spans="1:72" x14ac:dyDescent="0.15">
      <c r="A494" t="s">
        <v>72</v>
      </c>
      <c r="B494" t="s">
        <v>7911</v>
      </c>
      <c r="C494" t="s">
        <v>74</v>
      </c>
      <c r="D494" t="s">
        <v>74</v>
      </c>
      <c r="E494" t="s">
        <v>74</v>
      </c>
      <c r="F494" t="s">
        <v>7912</v>
      </c>
      <c r="G494" t="s">
        <v>74</v>
      </c>
      <c r="H494" t="s">
        <v>74</v>
      </c>
      <c r="I494" t="s">
        <v>7913</v>
      </c>
      <c r="J494" t="s">
        <v>7439</v>
      </c>
      <c r="K494" t="s">
        <v>74</v>
      </c>
      <c r="L494" t="s">
        <v>74</v>
      </c>
      <c r="M494" t="s">
        <v>78</v>
      </c>
      <c r="N494" t="s">
        <v>79</v>
      </c>
      <c r="O494" t="s">
        <v>74</v>
      </c>
      <c r="P494" t="s">
        <v>74</v>
      </c>
      <c r="Q494" t="s">
        <v>74</v>
      </c>
      <c r="R494" t="s">
        <v>74</v>
      </c>
      <c r="S494" t="s">
        <v>74</v>
      </c>
      <c r="T494" t="s">
        <v>74</v>
      </c>
      <c r="U494" t="s">
        <v>7914</v>
      </c>
      <c r="V494" t="s">
        <v>7915</v>
      </c>
      <c r="W494" t="s">
        <v>513</v>
      </c>
      <c r="X494" t="s">
        <v>514</v>
      </c>
      <c r="Y494" t="s">
        <v>7916</v>
      </c>
      <c r="Z494" t="s">
        <v>7917</v>
      </c>
      <c r="AA494" t="s">
        <v>74</v>
      </c>
      <c r="AB494" t="s">
        <v>74</v>
      </c>
      <c r="AC494" t="s">
        <v>7918</v>
      </c>
      <c r="AD494" t="s">
        <v>1254</v>
      </c>
      <c r="AE494" t="s">
        <v>74</v>
      </c>
      <c r="AF494" t="s">
        <v>74</v>
      </c>
      <c r="AG494">
        <v>25</v>
      </c>
      <c r="AH494">
        <v>95</v>
      </c>
      <c r="AI494">
        <v>103</v>
      </c>
      <c r="AJ494">
        <v>1</v>
      </c>
      <c r="AK494">
        <v>16</v>
      </c>
      <c r="AL494" t="s">
        <v>7239</v>
      </c>
      <c r="AM494" t="s">
        <v>5498</v>
      </c>
      <c r="AN494" t="s">
        <v>7240</v>
      </c>
      <c r="AO494" t="s">
        <v>7448</v>
      </c>
      <c r="AP494" t="s">
        <v>7449</v>
      </c>
      <c r="AQ494" t="s">
        <v>74</v>
      </c>
      <c r="AR494" t="s">
        <v>7450</v>
      </c>
      <c r="AS494" t="s">
        <v>7451</v>
      </c>
      <c r="AT494" t="s">
        <v>7919</v>
      </c>
      <c r="AU494">
        <v>2006</v>
      </c>
      <c r="AV494">
        <v>111</v>
      </c>
      <c r="AW494" t="s">
        <v>7759</v>
      </c>
      <c r="AX494" t="s">
        <v>74</v>
      </c>
      <c r="AY494" t="s">
        <v>74</v>
      </c>
      <c r="AZ494" t="s">
        <v>74</v>
      </c>
      <c r="BA494" t="s">
        <v>74</v>
      </c>
      <c r="BB494" t="s">
        <v>74</v>
      </c>
      <c r="BC494" t="s">
        <v>74</v>
      </c>
      <c r="BD494" t="s">
        <v>7920</v>
      </c>
      <c r="BE494" t="s">
        <v>7921</v>
      </c>
      <c r="BF494" t="str">
        <f>HYPERLINK("http://dx.doi.org/10.1029/2005JD006386","http://dx.doi.org/10.1029/2005JD006386")</f>
        <v>http://dx.doi.org/10.1029/2005JD006386</v>
      </c>
      <c r="BG494" t="s">
        <v>74</v>
      </c>
      <c r="BH494" t="s">
        <v>74</v>
      </c>
      <c r="BI494">
        <v>10</v>
      </c>
      <c r="BJ494" t="s">
        <v>3208</v>
      </c>
      <c r="BK494" t="s">
        <v>97</v>
      </c>
      <c r="BL494" t="s">
        <v>3208</v>
      </c>
      <c r="BM494" t="s">
        <v>7922</v>
      </c>
      <c r="BN494" t="s">
        <v>74</v>
      </c>
      <c r="BO494" t="s">
        <v>124</v>
      </c>
      <c r="BP494" t="s">
        <v>74</v>
      </c>
      <c r="BQ494" t="s">
        <v>74</v>
      </c>
      <c r="BR494" t="s">
        <v>100</v>
      </c>
      <c r="BS494" t="s">
        <v>7923</v>
      </c>
      <c r="BT494" t="str">
        <f>HYPERLINK("https%3A%2F%2Fwww.webofscience.com%2Fwos%2Fwoscc%2Ffull-record%2FWOS:000242741900001","View Full Record in Web of Science")</f>
        <v>View Full Record in Web of Science</v>
      </c>
    </row>
    <row r="495" spans="1:72" x14ac:dyDescent="0.15">
      <c r="A495" t="s">
        <v>72</v>
      </c>
      <c r="B495" t="s">
        <v>7924</v>
      </c>
      <c r="C495" t="s">
        <v>74</v>
      </c>
      <c r="D495" t="s">
        <v>74</v>
      </c>
      <c r="E495" t="s">
        <v>74</v>
      </c>
      <c r="F495" t="s">
        <v>7925</v>
      </c>
      <c r="G495" t="s">
        <v>74</v>
      </c>
      <c r="H495" t="s">
        <v>74</v>
      </c>
      <c r="I495" t="s">
        <v>7926</v>
      </c>
      <c r="J495" t="s">
        <v>7287</v>
      </c>
      <c r="K495" t="s">
        <v>74</v>
      </c>
      <c r="L495" t="s">
        <v>74</v>
      </c>
      <c r="M495" t="s">
        <v>78</v>
      </c>
      <c r="N495" t="s">
        <v>79</v>
      </c>
      <c r="O495" t="s">
        <v>74</v>
      </c>
      <c r="P495" t="s">
        <v>74</v>
      </c>
      <c r="Q495" t="s">
        <v>74</v>
      </c>
      <c r="R495" t="s">
        <v>74</v>
      </c>
      <c r="S495" t="s">
        <v>74</v>
      </c>
      <c r="T495" t="s">
        <v>74</v>
      </c>
      <c r="U495" t="s">
        <v>7927</v>
      </c>
      <c r="V495" t="s">
        <v>7928</v>
      </c>
      <c r="W495" t="s">
        <v>7929</v>
      </c>
      <c r="X495" t="s">
        <v>7930</v>
      </c>
      <c r="Y495" t="s">
        <v>7931</v>
      </c>
      <c r="Z495" t="s">
        <v>7932</v>
      </c>
      <c r="AA495" t="s">
        <v>74</v>
      </c>
      <c r="AB495" t="s">
        <v>74</v>
      </c>
      <c r="AC495" t="s">
        <v>74</v>
      </c>
      <c r="AD495" t="s">
        <v>74</v>
      </c>
      <c r="AE495" t="s">
        <v>74</v>
      </c>
      <c r="AF495" t="s">
        <v>74</v>
      </c>
      <c r="AG495">
        <v>44</v>
      </c>
      <c r="AH495">
        <v>9</v>
      </c>
      <c r="AI495">
        <v>11</v>
      </c>
      <c r="AJ495">
        <v>1</v>
      </c>
      <c r="AK495">
        <v>7</v>
      </c>
      <c r="AL495" t="s">
        <v>7239</v>
      </c>
      <c r="AM495" t="s">
        <v>5498</v>
      </c>
      <c r="AN495" t="s">
        <v>7240</v>
      </c>
      <c r="AO495" t="s">
        <v>7296</v>
      </c>
      <c r="AP495" t="s">
        <v>7297</v>
      </c>
      <c r="AQ495" t="s">
        <v>74</v>
      </c>
      <c r="AR495" t="s">
        <v>7298</v>
      </c>
      <c r="AS495" t="s">
        <v>7299</v>
      </c>
      <c r="AT495" t="s">
        <v>7919</v>
      </c>
      <c r="AU495">
        <v>2006</v>
      </c>
      <c r="AV495">
        <v>111</v>
      </c>
      <c r="AW495" t="s">
        <v>7301</v>
      </c>
      <c r="AX495" t="s">
        <v>74</v>
      </c>
      <c r="AY495" t="s">
        <v>74</v>
      </c>
      <c r="AZ495" t="s">
        <v>74</v>
      </c>
      <c r="BA495" t="s">
        <v>74</v>
      </c>
      <c r="BB495" t="s">
        <v>74</v>
      </c>
      <c r="BC495" t="s">
        <v>74</v>
      </c>
      <c r="BD495" t="s">
        <v>7933</v>
      </c>
      <c r="BE495" t="s">
        <v>7934</v>
      </c>
      <c r="BF495" t="str">
        <f>HYPERLINK("http://dx.doi.org/10.1029/2005JC003447","http://dx.doi.org/10.1029/2005JC003447")</f>
        <v>http://dx.doi.org/10.1029/2005JC003447</v>
      </c>
      <c r="BG495" t="s">
        <v>74</v>
      </c>
      <c r="BH495" t="s">
        <v>74</v>
      </c>
      <c r="BI495">
        <v>11</v>
      </c>
      <c r="BJ495" t="s">
        <v>1260</v>
      </c>
      <c r="BK495" t="s">
        <v>97</v>
      </c>
      <c r="BL495" t="s">
        <v>1260</v>
      </c>
      <c r="BM495" t="s">
        <v>7935</v>
      </c>
      <c r="BN495" t="s">
        <v>74</v>
      </c>
      <c r="BO495" t="s">
        <v>124</v>
      </c>
      <c r="BP495" t="s">
        <v>74</v>
      </c>
      <c r="BQ495" t="s">
        <v>74</v>
      </c>
      <c r="BR495" t="s">
        <v>100</v>
      </c>
      <c r="BS495" t="s">
        <v>7936</v>
      </c>
      <c r="BT495" t="str">
        <f>HYPERLINK("https%3A%2F%2Fwww.webofscience.com%2Fwos%2Fwoscc%2Ffull-record%2FWOS:000242744200002","View Full Record in Web of Science")</f>
        <v>View Full Record in Web of Science</v>
      </c>
    </row>
    <row r="496" spans="1:72" x14ac:dyDescent="0.15">
      <c r="A496" t="s">
        <v>72</v>
      </c>
      <c r="B496" t="s">
        <v>7937</v>
      </c>
      <c r="C496" t="s">
        <v>74</v>
      </c>
      <c r="D496" t="s">
        <v>74</v>
      </c>
      <c r="E496" t="s">
        <v>74</v>
      </c>
      <c r="F496" t="s">
        <v>7938</v>
      </c>
      <c r="G496" t="s">
        <v>74</v>
      </c>
      <c r="H496" t="s">
        <v>74</v>
      </c>
      <c r="I496" t="s">
        <v>7939</v>
      </c>
      <c r="J496" t="s">
        <v>7287</v>
      </c>
      <c r="K496" t="s">
        <v>74</v>
      </c>
      <c r="L496" t="s">
        <v>74</v>
      </c>
      <c r="M496" t="s">
        <v>78</v>
      </c>
      <c r="N496" t="s">
        <v>79</v>
      </c>
      <c r="O496" t="s">
        <v>74</v>
      </c>
      <c r="P496" t="s">
        <v>74</v>
      </c>
      <c r="Q496" t="s">
        <v>74</v>
      </c>
      <c r="R496" t="s">
        <v>74</v>
      </c>
      <c r="S496" t="s">
        <v>74</v>
      </c>
      <c r="T496" t="s">
        <v>74</v>
      </c>
      <c r="U496" t="s">
        <v>7940</v>
      </c>
      <c r="V496" t="s">
        <v>7941</v>
      </c>
      <c r="W496" t="s">
        <v>7942</v>
      </c>
      <c r="X496" t="s">
        <v>1436</v>
      </c>
      <c r="Y496" t="s">
        <v>7943</v>
      </c>
      <c r="Z496" t="s">
        <v>7944</v>
      </c>
      <c r="AA496" t="s">
        <v>7945</v>
      </c>
      <c r="AB496" t="s">
        <v>7946</v>
      </c>
      <c r="AC496" t="s">
        <v>7947</v>
      </c>
      <c r="AD496" t="s">
        <v>1647</v>
      </c>
      <c r="AE496" t="s">
        <v>74</v>
      </c>
      <c r="AF496" t="s">
        <v>74</v>
      </c>
      <c r="AG496">
        <v>31</v>
      </c>
      <c r="AH496">
        <v>29</v>
      </c>
      <c r="AI496">
        <v>30</v>
      </c>
      <c r="AJ496">
        <v>2</v>
      </c>
      <c r="AK496">
        <v>12</v>
      </c>
      <c r="AL496" t="s">
        <v>7239</v>
      </c>
      <c r="AM496" t="s">
        <v>5498</v>
      </c>
      <c r="AN496" t="s">
        <v>7240</v>
      </c>
      <c r="AO496" t="s">
        <v>7296</v>
      </c>
      <c r="AP496" t="s">
        <v>7297</v>
      </c>
      <c r="AQ496" t="s">
        <v>74</v>
      </c>
      <c r="AR496" t="s">
        <v>7298</v>
      </c>
      <c r="AS496" t="s">
        <v>7299</v>
      </c>
      <c r="AT496" t="s">
        <v>7919</v>
      </c>
      <c r="AU496">
        <v>2006</v>
      </c>
      <c r="AV496">
        <v>111</v>
      </c>
      <c r="AW496" t="s">
        <v>7301</v>
      </c>
      <c r="AX496" t="s">
        <v>74</v>
      </c>
      <c r="AY496" t="s">
        <v>74</v>
      </c>
      <c r="AZ496" t="s">
        <v>74</v>
      </c>
      <c r="BA496" t="s">
        <v>74</v>
      </c>
      <c r="BB496" t="s">
        <v>74</v>
      </c>
      <c r="BC496" t="s">
        <v>74</v>
      </c>
      <c r="BD496" t="s">
        <v>7948</v>
      </c>
      <c r="BE496" t="s">
        <v>7949</v>
      </c>
      <c r="BF496" t="str">
        <f>HYPERLINK("http://dx.doi.org/10.1029/2005JC003450","http://dx.doi.org/10.1029/2005JC003450")</f>
        <v>http://dx.doi.org/10.1029/2005JC003450</v>
      </c>
      <c r="BG496" t="s">
        <v>74</v>
      </c>
      <c r="BH496" t="s">
        <v>74</v>
      </c>
      <c r="BI496">
        <v>12</v>
      </c>
      <c r="BJ496" t="s">
        <v>1260</v>
      </c>
      <c r="BK496" t="s">
        <v>97</v>
      </c>
      <c r="BL496" t="s">
        <v>1260</v>
      </c>
      <c r="BM496" t="s">
        <v>7935</v>
      </c>
      <c r="BN496" t="s">
        <v>74</v>
      </c>
      <c r="BO496" t="s">
        <v>124</v>
      </c>
      <c r="BP496" t="s">
        <v>74</v>
      </c>
      <c r="BQ496" t="s">
        <v>74</v>
      </c>
      <c r="BR496" t="s">
        <v>100</v>
      </c>
      <c r="BS496" t="s">
        <v>7950</v>
      </c>
      <c r="BT496" t="str">
        <f>HYPERLINK("https%3A%2F%2Fwww.webofscience.com%2Fwos%2Fwoscc%2Ffull-record%2FWOS:000242744200003","View Full Record in Web of Science")</f>
        <v>View Full Record in Web of Science</v>
      </c>
    </row>
    <row r="497" spans="1:72" x14ac:dyDescent="0.15">
      <c r="A497" t="s">
        <v>72</v>
      </c>
      <c r="B497" t="s">
        <v>7951</v>
      </c>
      <c r="C497" t="s">
        <v>74</v>
      </c>
      <c r="D497" t="s">
        <v>74</v>
      </c>
      <c r="E497" t="s">
        <v>74</v>
      </c>
      <c r="F497" t="s">
        <v>7952</v>
      </c>
      <c r="G497" t="s">
        <v>74</v>
      </c>
      <c r="H497" t="s">
        <v>74</v>
      </c>
      <c r="I497" t="s">
        <v>4034</v>
      </c>
      <c r="J497" t="s">
        <v>7953</v>
      </c>
      <c r="K497" t="s">
        <v>74</v>
      </c>
      <c r="L497" t="s">
        <v>74</v>
      </c>
      <c r="M497" t="s">
        <v>78</v>
      </c>
      <c r="N497" t="s">
        <v>4036</v>
      </c>
      <c r="O497" t="s">
        <v>74</v>
      </c>
      <c r="P497" t="s">
        <v>74</v>
      </c>
      <c r="Q497" t="s">
        <v>74</v>
      </c>
      <c r="R497" t="s">
        <v>74</v>
      </c>
      <c r="S497" t="s">
        <v>74</v>
      </c>
      <c r="T497" t="s">
        <v>74</v>
      </c>
      <c r="U497" t="s">
        <v>74</v>
      </c>
      <c r="V497" t="s">
        <v>74</v>
      </c>
      <c r="W497" t="s">
        <v>7954</v>
      </c>
      <c r="X497" t="s">
        <v>7955</v>
      </c>
      <c r="Y497" t="s">
        <v>7956</v>
      </c>
      <c r="Z497" t="s">
        <v>74</v>
      </c>
      <c r="AA497" t="s">
        <v>74</v>
      </c>
      <c r="AB497" t="s">
        <v>74</v>
      </c>
      <c r="AC497" t="s">
        <v>74</v>
      </c>
      <c r="AD497" t="s">
        <v>74</v>
      </c>
      <c r="AE497" t="s">
        <v>74</v>
      </c>
      <c r="AF497" t="s">
        <v>74</v>
      </c>
      <c r="AG497">
        <v>1</v>
      </c>
      <c r="AH497">
        <v>0</v>
      </c>
      <c r="AI497">
        <v>0</v>
      </c>
      <c r="AJ497">
        <v>0</v>
      </c>
      <c r="AK497">
        <v>0</v>
      </c>
      <c r="AL497" t="s">
        <v>7957</v>
      </c>
      <c r="AM497" t="s">
        <v>7958</v>
      </c>
      <c r="AN497" t="s">
        <v>7959</v>
      </c>
      <c r="AO497" t="s">
        <v>7960</v>
      </c>
      <c r="AP497" t="s">
        <v>74</v>
      </c>
      <c r="AQ497" t="s">
        <v>74</v>
      </c>
      <c r="AR497" t="s">
        <v>7961</v>
      </c>
      <c r="AS497" t="s">
        <v>7962</v>
      </c>
      <c r="AT497" t="s">
        <v>7963</v>
      </c>
      <c r="AU497">
        <v>2006</v>
      </c>
      <c r="AV497">
        <v>5</v>
      </c>
      <c r="AW497">
        <v>4</v>
      </c>
      <c r="AX497" t="s">
        <v>74</v>
      </c>
      <c r="AY497" t="s">
        <v>74</v>
      </c>
      <c r="AZ497" t="s">
        <v>74</v>
      </c>
      <c r="BA497" t="s">
        <v>74</v>
      </c>
      <c r="BB497">
        <v>532</v>
      </c>
      <c r="BC497">
        <v>534</v>
      </c>
      <c r="BD497" t="s">
        <v>74</v>
      </c>
      <c r="BE497" t="s">
        <v>74</v>
      </c>
      <c r="BF497" t="s">
        <v>74</v>
      </c>
      <c r="BG497" t="s">
        <v>74</v>
      </c>
      <c r="BH497" t="s">
        <v>74</v>
      </c>
      <c r="BI497">
        <v>3</v>
      </c>
      <c r="BJ497" t="s">
        <v>7964</v>
      </c>
      <c r="BK497" t="s">
        <v>4048</v>
      </c>
      <c r="BL497" t="s">
        <v>7965</v>
      </c>
      <c r="BM497" t="s">
        <v>7966</v>
      </c>
      <c r="BN497" t="s">
        <v>74</v>
      </c>
      <c r="BO497" t="s">
        <v>74</v>
      </c>
      <c r="BP497" t="s">
        <v>74</v>
      </c>
      <c r="BQ497" t="s">
        <v>74</v>
      </c>
      <c r="BR497" t="s">
        <v>100</v>
      </c>
      <c r="BS497" t="s">
        <v>7967</v>
      </c>
      <c r="BT497" t="str">
        <f>HYPERLINK("https%3A%2F%2Fwww.webofscience.com%2Fwos%2Fwoscc%2Ffull-record%2FWOS:000243447900017","View Full Record in Web of Science")</f>
        <v>View Full Record in Web of Science</v>
      </c>
    </row>
    <row r="498" spans="1:72" x14ac:dyDescent="0.15">
      <c r="A498" t="s">
        <v>72</v>
      </c>
      <c r="B498" t="s">
        <v>7951</v>
      </c>
      <c r="C498" t="s">
        <v>74</v>
      </c>
      <c r="D498" t="s">
        <v>74</v>
      </c>
      <c r="E498" t="s">
        <v>74</v>
      </c>
      <c r="F498" t="s">
        <v>7952</v>
      </c>
      <c r="G498" t="s">
        <v>74</v>
      </c>
      <c r="H498" t="s">
        <v>74</v>
      </c>
      <c r="I498" t="s">
        <v>7968</v>
      </c>
      <c r="J498" t="s">
        <v>7953</v>
      </c>
      <c r="K498" t="s">
        <v>74</v>
      </c>
      <c r="L498" t="s">
        <v>74</v>
      </c>
      <c r="M498" t="s">
        <v>78</v>
      </c>
      <c r="N498" t="s">
        <v>4036</v>
      </c>
      <c r="O498" t="s">
        <v>74</v>
      </c>
      <c r="P498" t="s">
        <v>74</v>
      </c>
      <c r="Q498" t="s">
        <v>74</v>
      </c>
      <c r="R498" t="s">
        <v>74</v>
      </c>
      <c r="S498" t="s">
        <v>74</v>
      </c>
      <c r="T498" t="s">
        <v>74</v>
      </c>
      <c r="U498" t="s">
        <v>74</v>
      </c>
      <c r="V498" t="s">
        <v>74</v>
      </c>
      <c r="W498" t="s">
        <v>7969</v>
      </c>
      <c r="X498" t="s">
        <v>7955</v>
      </c>
      <c r="Y498" t="s">
        <v>7970</v>
      </c>
      <c r="Z498" t="s">
        <v>74</v>
      </c>
      <c r="AA498" t="s">
        <v>74</v>
      </c>
      <c r="AB498" t="s">
        <v>74</v>
      </c>
      <c r="AC498" t="s">
        <v>74</v>
      </c>
      <c r="AD498" t="s">
        <v>74</v>
      </c>
      <c r="AE498" t="s">
        <v>74</v>
      </c>
      <c r="AF498" t="s">
        <v>74</v>
      </c>
      <c r="AG498">
        <v>1</v>
      </c>
      <c r="AH498">
        <v>0</v>
      </c>
      <c r="AI498">
        <v>0</v>
      </c>
      <c r="AJ498">
        <v>0</v>
      </c>
      <c r="AK498">
        <v>0</v>
      </c>
      <c r="AL498" t="s">
        <v>7957</v>
      </c>
      <c r="AM498" t="s">
        <v>7958</v>
      </c>
      <c r="AN498" t="s">
        <v>7959</v>
      </c>
      <c r="AO498" t="s">
        <v>7960</v>
      </c>
      <c r="AP498" t="s">
        <v>74</v>
      </c>
      <c r="AQ498" t="s">
        <v>74</v>
      </c>
      <c r="AR498" t="s">
        <v>7961</v>
      </c>
      <c r="AS498" t="s">
        <v>7962</v>
      </c>
      <c r="AT498" t="s">
        <v>7963</v>
      </c>
      <c r="AU498">
        <v>2006</v>
      </c>
      <c r="AV498">
        <v>5</v>
      </c>
      <c r="AW498">
        <v>4</v>
      </c>
      <c r="AX498" t="s">
        <v>74</v>
      </c>
      <c r="AY498" t="s">
        <v>74</v>
      </c>
      <c r="AZ498" t="s">
        <v>74</v>
      </c>
      <c r="BA498" t="s">
        <v>74</v>
      </c>
      <c r="BB498">
        <v>532</v>
      </c>
      <c r="BC498">
        <v>534</v>
      </c>
      <c r="BD498" t="s">
        <v>74</v>
      </c>
      <c r="BE498" t="s">
        <v>74</v>
      </c>
      <c r="BF498" t="s">
        <v>74</v>
      </c>
      <c r="BG498" t="s">
        <v>74</v>
      </c>
      <c r="BH498" t="s">
        <v>74</v>
      </c>
      <c r="BI498">
        <v>3</v>
      </c>
      <c r="BJ498" t="s">
        <v>7964</v>
      </c>
      <c r="BK498" t="s">
        <v>4048</v>
      </c>
      <c r="BL498" t="s">
        <v>7965</v>
      </c>
      <c r="BM498" t="s">
        <v>7966</v>
      </c>
      <c r="BN498" t="s">
        <v>74</v>
      </c>
      <c r="BO498" t="s">
        <v>74</v>
      </c>
      <c r="BP498" t="s">
        <v>74</v>
      </c>
      <c r="BQ498" t="s">
        <v>74</v>
      </c>
      <c r="BR498" t="s">
        <v>100</v>
      </c>
      <c r="BS498" t="s">
        <v>7971</v>
      </c>
      <c r="BT498" t="str">
        <f>HYPERLINK("https%3A%2F%2Fwww.webofscience.com%2Fwos%2Fwoscc%2Ffull-record%2FWOS:000243447900019","View Full Record in Web of Science")</f>
        <v>View Full Record in Web of Science</v>
      </c>
    </row>
    <row r="499" spans="1:72" x14ac:dyDescent="0.15">
      <c r="A499" t="s">
        <v>72</v>
      </c>
      <c r="B499" t="s">
        <v>7972</v>
      </c>
      <c r="C499" t="s">
        <v>74</v>
      </c>
      <c r="D499" t="s">
        <v>74</v>
      </c>
      <c r="E499" t="s">
        <v>74</v>
      </c>
      <c r="F499" t="s">
        <v>7973</v>
      </c>
      <c r="G499" t="s">
        <v>74</v>
      </c>
      <c r="H499" t="s">
        <v>74</v>
      </c>
      <c r="I499" t="s">
        <v>7974</v>
      </c>
      <c r="J499" t="s">
        <v>7975</v>
      </c>
      <c r="K499" t="s">
        <v>74</v>
      </c>
      <c r="L499" t="s">
        <v>74</v>
      </c>
      <c r="M499" t="s">
        <v>78</v>
      </c>
      <c r="N499" t="s">
        <v>79</v>
      </c>
      <c r="O499" t="s">
        <v>74</v>
      </c>
      <c r="P499" t="s">
        <v>74</v>
      </c>
      <c r="Q499" t="s">
        <v>74</v>
      </c>
      <c r="R499" t="s">
        <v>74</v>
      </c>
      <c r="S499" t="s">
        <v>74</v>
      </c>
      <c r="T499" t="s">
        <v>7976</v>
      </c>
      <c r="U499" t="s">
        <v>7977</v>
      </c>
      <c r="V499" t="s">
        <v>7978</v>
      </c>
      <c r="W499" t="s">
        <v>7979</v>
      </c>
      <c r="X499" t="s">
        <v>7980</v>
      </c>
      <c r="Y499" t="s">
        <v>7981</v>
      </c>
      <c r="Z499" t="s">
        <v>7982</v>
      </c>
      <c r="AA499" t="s">
        <v>74</v>
      </c>
      <c r="AB499" t="s">
        <v>74</v>
      </c>
      <c r="AC499" t="s">
        <v>74</v>
      </c>
      <c r="AD499" t="s">
        <v>74</v>
      </c>
      <c r="AE499" t="s">
        <v>74</v>
      </c>
      <c r="AF499" t="s">
        <v>74</v>
      </c>
      <c r="AG499">
        <v>80</v>
      </c>
      <c r="AH499">
        <v>125</v>
      </c>
      <c r="AI499">
        <v>148</v>
      </c>
      <c r="AJ499">
        <v>0</v>
      </c>
      <c r="AK499">
        <v>33</v>
      </c>
      <c r="AL499" t="s">
        <v>7983</v>
      </c>
      <c r="AM499" t="s">
        <v>7984</v>
      </c>
      <c r="AN499" t="s">
        <v>7985</v>
      </c>
      <c r="AO499" t="s">
        <v>7986</v>
      </c>
      <c r="AP499" t="s">
        <v>7987</v>
      </c>
      <c r="AQ499" t="s">
        <v>74</v>
      </c>
      <c r="AR499" t="s">
        <v>7988</v>
      </c>
      <c r="AS499" t="s">
        <v>7989</v>
      </c>
      <c r="AT499" t="s">
        <v>7963</v>
      </c>
      <c r="AU499">
        <v>2006</v>
      </c>
      <c r="AV499">
        <v>168</v>
      </c>
      <c r="AW499">
        <v>6</v>
      </c>
      <c r="AX499" t="s">
        <v>74</v>
      </c>
      <c r="AY499" t="s">
        <v>74</v>
      </c>
      <c r="AZ499" t="s">
        <v>74</v>
      </c>
      <c r="BA499" t="s">
        <v>74</v>
      </c>
      <c r="BB499">
        <v>730</v>
      </c>
      <c r="BC499">
        <v>741</v>
      </c>
      <c r="BD499" t="s">
        <v>74</v>
      </c>
      <c r="BE499" t="s">
        <v>7990</v>
      </c>
      <c r="BF499" t="str">
        <f>HYPERLINK("http://dx.doi.org/10.1086/509052","http://dx.doi.org/10.1086/509052")</f>
        <v>http://dx.doi.org/10.1086/509052</v>
      </c>
      <c r="BG499" t="s">
        <v>74</v>
      </c>
      <c r="BH499" t="s">
        <v>74</v>
      </c>
      <c r="BI499">
        <v>12</v>
      </c>
      <c r="BJ499" t="s">
        <v>7991</v>
      </c>
      <c r="BK499" t="s">
        <v>97</v>
      </c>
      <c r="BL499" t="s">
        <v>7992</v>
      </c>
      <c r="BM499" t="s">
        <v>7993</v>
      </c>
      <c r="BN499">
        <v>17109316</v>
      </c>
      <c r="BO499" t="s">
        <v>74</v>
      </c>
      <c r="BP499" t="s">
        <v>74</v>
      </c>
      <c r="BQ499" t="s">
        <v>74</v>
      </c>
      <c r="BR499" t="s">
        <v>100</v>
      </c>
      <c r="BS499" t="s">
        <v>7994</v>
      </c>
      <c r="BT499" t="str">
        <f>HYPERLINK("https%3A%2F%2Fwww.webofscience.com%2Fwos%2Fwoscc%2Ffull-record%2FWOS:000242126900002","View Full Record in Web of Science")</f>
        <v>View Full Record in Web of Science</v>
      </c>
    </row>
    <row r="500" spans="1:72" x14ac:dyDescent="0.15">
      <c r="A500" t="s">
        <v>72</v>
      </c>
      <c r="B500" t="s">
        <v>7995</v>
      </c>
      <c r="C500" t="s">
        <v>74</v>
      </c>
      <c r="D500" t="s">
        <v>74</v>
      </c>
      <c r="E500" t="s">
        <v>74</v>
      </c>
      <c r="F500" t="s">
        <v>7996</v>
      </c>
      <c r="G500" t="s">
        <v>74</v>
      </c>
      <c r="H500" t="s">
        <v>74</v>
      </c>
      <c r="I500" t="s">
        <v>7997</v>
      </c>
      <c r="J500" t="s">
        <v>7998</v>
      </c>
      <c r="K500" t="s">
        <v>74</v>
      </c>
      <c r="L500" t="s">
        <v>74</v>
      </c>
      <c r="M500" t="s">
        <v>78</v>
      </c>
      <c r="N500" t="s">
        <v>1431</v>
      </c>
      <c r="O500" t="s">
        <v>74</v>
      </c>
      <c r="P500" t="s">
        <v>74</v>
      </c>
      <c r="Q500" t="s">
        <v>74</v>
      </c>
      <c r="R500" t="s">
        <v>74</v>
      </c>
      <c r="S500" t="s">
        <v>74</v>
      </c>
      <c r="T500" t="s">
        <v>74</v>
      </c>
      <c r="U500" t="s">
        <v>74</v>
      </c>
      <c r="V500" t="s">
        <v>74</v>
      </c>
      <c r="W500" t="s">
        <v>74</v>
      </c>
      <c r="X500" t="s">
        <v>74</v>
      </c>
      <c r="Y500" t="s">
        <v>74</v>
      </c>
      <c r="Z500" t="s">
        <v>74</v>
      </c>
      <c r="AA500" t="s">
        <v>74</v>
      </c>
      <c r="AB500" t="s">
        <v>7999</v>
      </c>
      <c r="AC500" t="s">
        <v>74</v>
      </c>
      <c r="AD500" t="s">
        <v>74</v>
      </c>
      <c r="AE500" t="s">
        <v>74</v>
      </c>
      <c r="AF500" t="s">
        <v>74</v>
      </c>
      <c r="AG500">
        <v>0</v>
      </c>
      <c r="AH500">
        <v>0</v>
      </c>
      <c r="AI500">
        <v>0</v>
      </c>
      <c r="AJ500">
        <v>0</v>
      </c>
      <c r="AK500">
        <v>2</v>
      </c>
      <c r="AL500" t="s">
        <v>221</v>
      </c>
      <c r="AM500" t="s">
        <v>678</v>
      </c>
      <c r="AN500" t="s">
        <v>2692</v>
      </c>
      <c r="AO500" t="s">
        <v>8000</v>
      </c>
      <c r="AP500" t="s">
        <v>74</v>
      </c>
      <c r="AQ500" t="s">
        <v>74</v>
      </c>
      <c r="AR500" t="s">
        <v>8001</v>
      </c>
      <c r="AS500" t="s">
        <v>8002</v>
      </c>
      <c r="AT500" t="s">
        <v>7963</v>
      </c>
      <c r="AU500">
        <v>2006</v>
      </c>
      <c r="AV500">
        <v>18</v>
      </c>
      <c r="AW500">
        <v>4</v>
      </c>
      <c r="AX500" t="s">
        <v>74</v>
      </c>
      <c r="AY500" t="s">
        <v>74</v>
      </c>
      <c r="AZ500" t="s">
        <v>74</v>
      </c>
      <c r="BA500" t="s">
        <v>74</v>
      </c>
      <c r="BB500">
        <v>461</v>
      </c>
      <c r="BC500">
        <v>461</v>
      </c>
      <c r="BD500" t="s">
        <v>74</v>
      </c>
      <c r="BE500" t="s">
        <v>8003</v>
      </c>
      <c r="BF500" t="str">
        <f>HYPERLINK("http://dx.doi.org/10.1017/S0954102006000496","http://dx.doi.org/10.1017/S0954102006000496")</f>
        <v>http://dx.doi.org/10.1017/S0954102006000496</v>
      </c>
      <c r="BG500" t="s">
        <v>74</v>
      </c>
      <c r="BH500" t="s">
        <v>74</v>
      </c>
      <c r="BI500">
        <v>1</v>
      </c>
      <c r="BJ500" t="s">
        <v>3377</v>
      </c>
      <c r="BK500" t="s">
        <v>97</v>
      </c>
      <c r="BL500" t="s">
        <v>3378</v>
      </c>
      <c r="BM500" t="s">
        <v>8004</v>
      </c>
      <c r="BN500" t="s">
        <v>74</v>
      </c>
      <c r="BO500" t="s">
        <v>124</v>
      </c>
      <c r="BP500" t="s">
        <v>74</v>
      </c>
      <c r="BQ500" t="s">
        <v>74</v>
      </c>
      <c r="BR500" t="s">
        <v>100</v>
      </c>
      <c r="BS500" t="s">
        <v>8005</v>
      </c>
      <c r="BT500" t="str">
        <f>HYPERLINK("https%3A%2F%2Fwww.webofscience.com%2Fwos%2Fwoscc%2Ffull-record%2FWOS:000242638900001","View Full Record in Web of Science")</f>
        <v>View Full Record in Web of Science</v>
      </c>
    </row>
    <row r="501" spans="1:72" x14ac:dyDescent="0.15">
      <c r="A501" t="s">
        <v>72</v>
      </c>
      <c r="B501" t="s">
        <v>8006</v>
      </c>
      <c r="C501" t="s">
        <v>74</v>
      </c>
      <c r="D501" t="s">
        <v>74</v>
      </c>
      <c r="E501" t="s">
        <v>74</v>
      </c>
      <c r="F501" t="s">
        <v>8007</v>
      </c>
      <c r="G501" t="s">
        <v>74</v>
      </c>
      <c r="H501" t="s">
        <v>74</v>
      </c>
      <c r="I501" t="s">
        <v>8008</v>
      </c>
      <c r="J501" t="s">
        <v>7998</v>
      </c>
      <c r="K501" t="s">
        <v>74</v>
      </c>
      <c r="L501" t="s">
        <v>74</v>
      </c>
      <c r="M501" t="s">
        <v>78</v>
      </c>
      <c r="N501" t="s">
        <v>79</v>
      </c>
      <c r="O501" t="s">
        <v>74</v>
      </c>
      <c r="P501" t="s">
        <v>74</v>
      </c>
      <c r="Q501" t="s">
        <v>74</v>
      </c>
      <c r="R501" t="s">
        <v>74</v>
      </c>
      <c r="S501" t="s">
        <v>74</v>
      </c>
      <c r="T501" t="s">
        <v>8009</v>
      </c>
      <c r="U501" t="s">
        <v>8010</v>
      </c>
      <c r="V501" t="s">
        <v>8011</v>
      </c>
      <c r="W501" t="s">
        <v>8012</v>
      </c>
      <c r="X501" t="s">
        <v>8013</v>
      </c>
      <c r="Y501" t="s">
        <v>8014</v>
      </c>
      <c r="Z501" t="s">
        <v>8015</v>
      </c>
      <c r="AA501" t="s">
        <v>74</v>
      </c>
      <c r="AB501" t="s">
        <v>7999</v>
      </c>
      <c r="AC501" t="s">
        <v>74</v>
      </c>
      <c r="AD501" t="s">
        <v>74</v>
      </c>
      <c r="AE501" t="s">
        <v>74</v>
      </c>
      <c r="AF501" t="s">
        <v>74</v>
      </c>
      <c r="AG501">
        <v>48</v>
      </c>
      <c r="AH501">
        <v>54</v>
      </c>
      <c r="AI501">
        <v>57</v>
      </c>
      <c r="AJ501">
        <v>0</v>
      </c>
      <c r="AK501">
        <v>6</v>
      </c>
      <c r="AL501" t="s">
        <v>221</v>
      </c>
      <c r="AM501" t="s">
        <v>678</v>
      </c>
      <c r="AN501" t="s">
        <v>2692</v>
      </c>
      <c r="AO501" t="s">
        <v>8000</v>
      </c>
      <c r="AP501" t="s">
        <v>8016</v>
      </c>
      <c r="AQ501" t="s">
        <v>74</v>
      </c>
      <c r="AR501" t="s">
        <v>8001</v>
      </c>
      <c r="AS501" t="s">
        <v>8002</v>
      </c>
      <c r="AT501" t="s">
        <v>7963</v>
      </c>
      <c r="AU501">
        <v>2006</v>
      </c>
      <c r="AV501">
        <v>18</v>
      </c>
      <c r="AW501">
        <v>4</v>
      </c>
      <c r="AX501" t="s">
        <v>74</v>
      </c>
      <c r="AY501" t="s">
        <v>74</v>
      </c>
      <c r="AZ501" t="s">
        <v>74</v>
      </c>
      <c r="BA501" t="s">
        <v>74</v>
      </c>
      <c r="BB501">
        <v>465</v>
      </c>
      <c r="BC501">
        <v>471</v>
      </c>
      <c r="BD501" t="s">
        <v>74</v>
      </c>
      <c r="BE501" t="s">
        <v>8017</v>
      </c>
      <c r="BF501" t="str">
        <f>HYPERLINK("http://dx.doi.org/10.1017/S0954102006000514","http://dx.doi.org/10.1017/S0954102006000514")</f>
        <v>http://dx.doi.org/10.1017/S0954102006000514</v>
      </c>
      <c r="BG501" t="s">
        <v>74</v>
      </c>
      <c r="BH501" t="s">
        <v>74</v>
      </c>
      <c r="BI501">
        <v>7</v>
      </c>
      <c r="BJ501" t="s">
        <v>3377</v>
      </c>
      <c r="BK501" t="s">
        <v>97</v>
      </c>
      <c r="BL501" t="s">
        <v>3378</v>
      </c>
      <c r="BM501" t="s">
        <v>8004</v>
      </c>
      <c r="BN501" t="s">
        <v>74</v>
      </c>
      <c r="BO501" t="s">
        <v>74</v>
      </c>
      <c r="BP501" t="s">
        <v>74</v>
      </c>
      <c r="BQ501" t="s">
        <v>74</v>
      </c>
      <c r="BR501" t="s">
        <v>100</v>
      </c>
      <c r="BS501" t="s">
        <v>8018</v>
      </c>
      <c r="BT501" t="str">
        <f>HYPERLINK("https%3A%2F%2Fwww.webofscience.com%2Fwos%2Fwoscc%2Ffull-record%2FWOS:000242638900002","View Full Record in Web of Science")</f>
        <v>View Full Record in Web of Science</v>
      </c>
    </row>
    <row r="502" spans="1:72" x14ac:dyDescent="0.15">
      <c r="A502" t="s">
        <v>72</v>
      </c>
      <c r="B502" t="s">
        <v>8019</v>
      </c>
      <c r="C502" t="s">
        <v>74</v>
      </c>
      <c r="D502" t="s">
        <v>74</v>
      </c>
      <c r="E502" t="s">
        <v>74</v>
      </c>
      <c r="F502" t="s">
        <v>8020</v>
      </c>
      <c r="G502" t="s">
        <v>74</v>
      </c>
      <c r="H502" t="s">
        <v>74</v>
      </c>
      <c r="I502" t="s">
        <v>8021</v>
      </c>
      <c r="J502" t="s">
        <v>7998</v>
      </c>
      <c r="K502" t="s">
        <v>74</v>
      </c>
      <c r="L502" t="s">
        <v>74</v>
      </c>
      <c r="M502" t="s">
        <v>78</v>
      </c>
      <c r="N502" t="s">
        <v>79</v>
      </c>
      <c r="O502" t="s">
        <v>74</v>
      </c>
      <c r="P502" t="s">
        <v>74</v>
      </c>
      <c r="Q502" t="s">
        <v>74</v>
      </c>
      <c r="R502" t="s">
        <v>74</v>
      </c>
      <c r="S502" t="s">
        <v>74</v>
      </c>
      <c r="T502" t="s">
        <v>8022</v>
      </c>
      <c r="U502" t="s">
        <v>8023</v>
      </c>
      <c r="V502" t="s">
        <v>8024</v>
      </c>
      <c r="W502" t="s">
        <v>8025</v>
      </c>
      <c r="X502" t="s">
        <v>8026</v>
      </c>
      <c r="Y502" t="s">
        <v>8027</v>
      </c>
      <c r="Z502" t="s">
        <v>8028</v>
      </c>
      <c r="AA502" t="s">
        <v>8029</v>
      </c>
      <c r="AB502" t="s">
        <v>8030</v>
      </c>
      <c r="AC502" t="s">
        <v>74</v>
      </c>
      <c r="AD502" t="s">
        <v>74</v>
      </c>
      <c r="AE502" t="s">
        <v>74</v>
      </c>
      <c r="AF502" t="s">
        <v>74</v>
      </c>
      <c r="AG502">
        <v>48</v>
      </c>
      <c r="AH502">
        <v>41</v>
      </c>
      <c r="AI502">
        <v>42</v>
      </c>
      <c r="AJ502">
        <v>2</v>
      </c>
      <c r="AK502">
        <v>17</v>
      </c>
      <c r="AL502" t="s">
        <v>221</v>
      </c>
      <c r="AM502" t="s">
        <v>678</v>
      </c>
      <c r="AN502" t="s">
        <v>2692</v>
      </c>
      <c r="AO502" t="s">
        <v>8000</v>
      </c>
      <c r="AP502" t="s">
        <v>74</v>
      </c>
      <c r="AQ502" t="s">
        <v>74</v>
      </c>
      <c r="AR502" t="s">
        <v>8001</v>
      </c>
      <c r="AS502" t="s">
        <v>8002</v>
      </c>
      <c r="AT502" t="s">
        <v>7963</v>
      </c>
      <c r="AU502">
        <v>2006</v>
      </c>
      <c r="AV502">
        <v>18</v>
      </c>
      <c r="AW502">
        <v>4</v>
      </c>
      <c r="AX502" t="s">
        <v>74</v>
      </c>
      <c r="AY502" t="s">
        <v>74</v>
      </c>
      <c r="AZ502" t="s">
        <v>74</v>
      </c>
      <c r="BA502" t="s">
        <v>74</v>
      </c>
      <c r="BB502">
        <v>473</v>
      </c>
      <c r="BC502">
        <v>486</v>
      </c>
      <c r="BD502" t="s">
        <v>74</v>
      </c>
      <c r="BE502" t="s">
        <v>8031</v>
      </c>
      <c r="BF502" t="str">
        <f>HYPERLINK("http://dx.doi.org/10.1017/S0954102006000526","http://dx.doi.org/10.1017/S0954102006000526")</f>
        <v>http://dx.doi.org/10.1017/S0954102006000526</v>
      </c>
      <c r="BG502" t="s">
        <v>74</v>
      </c>
      <c r="BH502" t="s">
        <v>74</v>
      </c>
      <c r="BI502">
        <v>14</v>
      </c>
      <c r="BJ502" t="s">
        <v>3377</v>
      </c>
      <c r="BK502" t="s">
        <v>97</v>
      </c>
      <c r="BL502" t="s">
        <v>3378</v>
      </c>
      <c r="BM502" t="s">
        <v>8004</v>
      </c>
      <c r="BN502" t="s">
        <v>74</v>
      </c>
      <c r="BO502" t="s">
        <v>1384</v>
      </c>
      <c r="BP502" t="s">
        <v>74</v>
      </c>
      <c r="BQ502" t="s">
        <v>74</v>
      </c>
      <c r="BR502" t="s">
        <v>100</v>
      </c>
      <c r="BS502" t="s">
        <v>8032</v>
      </c>
      <c r="BT502" t="str">
        <f>HYPERLINK("https%3A%2F%2Fwww.webofscience.com%2Fwos%2Fwoscc%2Ffull-record%2FWOS:000242638900003","View Full Record in Web of Science")</f>
        <v>View Full Record in Web of Science</v>
      </c>
    </row>
    <row r="503" spans="1:72" x14ac:dyDescent="0.15">
      <c r="A503" t="s">
        <v>72</v>
      </c>
      <c r="B503" t="s">
        <v>8033</v>
      </c>
      <c r="C503" t="s">
        <v>74</v>
      </c>
      <c r="D503" t="s">
        <v>74</v>
      </c>
      <c r="E503" t="s">
        <v>74</v>
      </c>
      <c r="F503" t="s">
        <v>8034</v>
      </c>
      <c r="G503" t="s">
        <v>74</v>
      </c>
      <c r="H503" t="s">
        <v>74</v>
      </c>
      <c r="I503" t="s">
        <v>8035</v>
      </c>
      <c r="J503" t="s">
        <v>7998</v>
      </c>
      <c r="K503" t="s">
        <v>74</v>
      </c>
      <c r="L503" t="s">
        <v>74</v>
      </c>
      <c r="M503" t="s">
        <v>78</v>
      </c>
      <c r="N503" t="s">
        <v>79</v>
      </c>
      <c r="O503" t="s">
        <v>74</v>
      </c>
      <c r="P503" t="s">
        <v>74</v>
      </c>
      <c r="Q503" t="s">
        <v>74</v>
      </c>
      <c r="R503" t="s">
        <v>74</v>
      </c>
      <c r="S503" t="s">
        <v>74</v>
      </c>
      <c r="T503" t="s">
        <v>8036</v>
      </c>
      <c r="U503" t="s">
        <v>8037</v>
      </c>
      <c r="V503" t="s">
        <v>8038</v>
      </c>
      <c r="W503" t="s">
        <v>8039</v>
      </c>
      <c r="X503" t="s">
        <v>8040</v>
      </c>
      <c r="Y503" t="s">
        <v>8041</v>
      </c>
      <c r="Z503" t="s">
        <v>8042</v>
      </c>
      <c r="AA503" t="s">
        <v>8043</v>
      </c>
      <c r="AB503" t="s">
        <v>74</v>
      </c>
      <c r="AC503" t="s">
        <v>74</v>
      </c>
      <c r="AD503" t="s">
        <v>74</v>
      </c>
      <c r="AE503" t="s">
        <v>74</v>
      </c>
      <c r="AF503" t="s">
        <v>74</v>
      </c>
      <c r="AG503">
        <v>29</v>
      </c>
      <c r="AH503">
        <v>9</v>
      </c>
      <c r="AI503">
        <v>10</v>
      </c>
      <c r="AJ503">
        <v>0</v>
      </c>
      <c r="AK503">
        <v>6</v>
      </c>
      <c r="AL503" t="s">
        <v>221</v>
      </c>
      <c r="AM503" t="s">
        <v>678</v>
      </c>
      <c r="AN503" t="s">
        <v>2692</v>
      </c>
      <c r="AO503" t="s">
        <v>8000</v>
      </c>
      <c r="AP503" t="s">
        <v>8016</v>
      </c>
      <c r="AQ503" t="s">
        <v>74</v>
      </c>
      <c r="AR503" t="s">
        <v>8001</v>
      </c>
      <c r="AS503" t="s">
        <v>8002</v>
      </c>
      <c r="AT503" t="s">
        <v>7963</v>
      </c>
      <c r="AU503">
        <v>2006</v>
      </c>
      <c r="AV503">
        <v>18</v>
      </c>
      <c r="AW503">
        <v>4</v>
      </c>
      <c r="AX503" t="s">
        <v>74</v>
      </c>
      <c r="AY503" t="s">
        <v>74</v>
      </c>
      <c r="AZ503" t="s">
        <v>74</v>
      </c>
      <c r="BA503" t="s">
        <v>74</v>
      </c>
      <c r="BB503">
        <v>487</v>
      </c>
      <c r="BC503">
        <v>495</v>
      </c>
      <c r="BD503" t="s">
        <v>74</v>
      </c>
      <c r="BE503" t="s">
        <v>8044</v>
      </c>
      <c r="BF503" t="str">
        <f>HYPERLINK("http://dx.doi.org/10.1017/S0954102006000538","http://dx.doi.org/10.1017/S0954102006000538")</f>
        <v>http://dx.doi.org/10.1017/S0954102006000538</v>
      </c>
      <c r="BG503" t="s">
        <v>74</v>
      </c>
      <c r="BH503" t="s">
        <v>74</v>
      </c>
      <c r="BI503">
        <v>9</v>
      </c>
      <c r="BJ503" t="s">
        <v>3377</v>
      </c>
      <c r="BK503" t="s">
        <v>97</v>
      </c>
      <c r="BL503" t="s">
        <v>3378</v>
      </c>
      <c r="BM503" t="s">
        <v>8004</v>
      </c>
      <c r="BN503" t="s">
        <v>74</v>
      </c>
      <c r="BO503" t="s">
        <v>1384</v>
      </c>
      <c r="BP503" t="s">
        <v>74</v>
      </c>
      <c r="BQ503" t="s">
        <v>74</v>
      </c>
      <c r="BR503" t="s">
        <v>100</v>
      </c>
      <c r="BS503" t="s">
        <v>8045</v>
      </c>
      <c r="BT503" t="str">
        <f>HYPERLINK("https%3A%2F%2Fwww.webofscience.com%2Fwos%2Fwoscc%2Ffull-record%2FWOS:000242638900004","View Full Record in Web of Science")</f>
        <v>View Full Record in Web of Science</v>
      </c>
    </row>
    <row r="504" spans="1:72" x14ac:dyDescent="0.15">
      <c r="A504" t="s">
        <v>72</v>
      </c>
      <c r="B504" t="s">
        <v>8046</v>
      </c>
      <c r="C504" t="s">
        <v>74</v>
      </c>
      <c r="D504" t="s">
        <v>74</v>
      </c>
      <c r="E504" t="s">
        <v>74</v>
      </c>
      <c r="F504" t="s">
        <v>8047</v>
      </c>
      <c r="G504" t="s">
        <v>74</v>
      </c>
      <c r="H504" t="s">
        <v>74</v>
      </c>
      <c r="I504" t="s">
        <v>8048</v>
      </c>
      <c r="J504" t="s">
        <v>7998</v>
      </c>
      <c r="K504" t="s">
        <v>74</v>
      </c>
      <c r="L504" t="s">
        <v>74</v>
      </c>
      <c r="M504" t="s">
        <v>78</v>
      </c>
      <c r="N504" t="s">
        <v>79</v>
      </c>
      <c r="O504" t="s">
        <v>74</v>
      </c>
      <c r="P504" t="s">
        <v>74</v>
      </c>
      <c r="Q504" t="s">
        <v>74</v>
      </c>
      <c r="R504" t="s">
        <v>74</v>
      </c>
      <c r="S504" t="s">
        <v>74</v>
      </c>
      <c r="T504" t="s">
        <v>8049</v>
      </c>
      <c r="U504" t="s">
        <v>8050</v>
      </c>
      <c r="V504" t="s">
        <v>8051</v>
      </c>
      <c r="W504" t="s">
        <v>8052</v>
      </c>
      <c r="X504" t="s">
        <v>8053</v>
      </c>
      <c r="Y504" t="s">
        <v>8054</v>
      </c>
      <c r="Z504" t="s">
        <v>8055</v>
      </c>
      <c r="AA504" t="s">
        <v>8056</v>
      </c>
      <c r="AB504" t="s">
        <v>8057</v>
      </c>
      <c r="AC504" t="s">
        <v>74</v>
      </c>
      <c r="AD504" t="s">
        <v>74</v>
      </c>
      <c r="AE504" t="s">
        <v>74</v>
      </c>
      <c r="AF504" t="s">
        <v>74</v>
      </c>
      <c r="AG504">
        <v>50</v>
      </c>
      <c r="AH504">
        <v>56</v>
      </c>
      <c r="AI504">
        <v>67</v>
      </c>
      <c r="AJ504">
        <v>1</v>
      </c>
      <c r="AK504">
        <v>14</v>
      </c>
      <c r="AL504" t="s">
        <v>221</v>
      </c>
      <c r="AM504" t="s">
        <v>678</v>
      </c>
      <c r="AN504" t="s">
        <v>2692</v>
      </c>
      <c r="AO504" t="s">
        <v>8000</v>
      </c>
      <c r="AP504" t="s">
        <v>8016</v>
      </c>
      <c r="AQ504" t="s">
        <v>74</v>
      </c>
      <c r="AR504" t="s">
        <v>8001</v>
      </c>
      <c r="AS504" t="s">
        <v>8002</v>
      </c>
      <c r="AT504" t="s">
        <v>7963</v>
      </c>
      <c r="AU504">
        <v>2006</v>
      </c>
      <c r="AV504">
        <v>18</v>
      </c>
      <c r="AW504">
        <v>4</v>
      </c>
      <c r="AX504" t="s">
        <v>74</v>
      </c>
      <c r="AY504" t="s">
        <v>74</v>
      </c>
      <c r="AZ504" t="s">
        <v>74</v>
      </c>
      <c r="BA504" t="s">
        <v>74</v>
      </c>
      <c r="BB504">
        <v>497</v>
      </c>
      <c r="BC504">
        <v>505</v>
      </c>
      <c r="BD504" t="s">
        <v>74</v>
      </c>
      <c r="BE504" t="s">
        <v>8058</v>
      </c>
      <c r="BF504" t="str">
        <f>HYPERLINK("http://dx.doi.org/10.1017/S095410200600054X","http://dx.doi.org/10.1017/S095410200600054X")</f>
        <v>http://dx.doi.org/10.1017/S095410200600054X</v>
      </c>
      <c r="BG504" t="s">
        <v>74</v>
      </c>
      <c r="BH504" t="s">
        <v>74</v>
      </c>
      <c r="BI504">
        <v>9</v>
      </c>
      <c r="BJ504" t="s">
        <v>3377</v>
      </c>
      <c r="BK504" t="s">
        <v>97</v>
      </c>
      <c r="BL504" t="s">
        <v>3378</v>
      </c>
      <c r="BM504" t="s">
        <v>8004</v>
      </c>
      <c r="BN504" t="s">
        <v>74</v>
      </c>
      <c r="BO504" t="s">
        <v>1384</v>
      </c>
      <c r="BP504" t="s">
        <v>74</v>
      </c>
      <c r="BQ504" t="s">
        <v>74</v>
      </c>
      <c r="BR504" t="s">
        <v>100</v>
      </c>
      <c r="BS504" t="s">
        <v>8059</v>
      </c>
      <c r="BT504" t="str">
        <f>HYPERLINK("https%3A%2F%2Fwww.webofscience.com%2Fwos%2Fwoscc%2Ffull-record%2FWOS:000242638900005","View Full Record in Web of Science")</f>
        <v>View Full Record in Web of Science</v>
      </c>
    </row>
    <row r="505" spans="1:72" x14ac:dyDescent="0.15">
      <c r="A505" t="s">
        <v>72</v>
      </c>
      <c r="B505" t="s">
        <v>8060</v>
      </c>
      <c r="C505" t="s">
        <v>74</v>
      </c>
      <c r="D505" t="s">
        <v>74</v>
      </c>
      <c r="E505" t="s">
        <v>74</v>
      </c>
      <c r="F505" t="s">
        <v>8061</v>
      </c>
      <c r="G505" t="s">
        <v>74</v>
      </c>
      <c r="H505" t="s">
        <v>74</v>
      </c>
      <c r="I505" t="s">
        <v>8062</v>
      </c>
      <c r="J505" t="s">
        <v>7998</v>
      </c>
      <c r="K505" t="s">
        <v>74</v>
      </c>
      <c r="L505" t="s">
        <v>74</v>
      </c>
      <c r="M505" t="s">
        <v>78</v>
      </c>
      <c r="N505" t="s">
        <v>79</v>
      </c>
      <c r="O505" t="s">
        <v>74</v>
      </c>
      <c r="P505" t="s">
        <v>74</v>
      </c>
      <c r="Q505" t="s">
        <v>74</v>
      </c>
      <c r="R505" t="s">
        <v>74</v>
      </c>
      <c r="S505" t="s">
        <v>74</v>
      </c>
      <c r="T505" t="s">
        <v>8063</v>
      </c>
      <c r="U505" t="s">
        <v>8064</v>
      </c>
      <c r="V505" t="s">
        <v>8065</v>
      </c>
      <c r="W505" t="s">
        <v>8066</v>
      </c>
      <c r="X505" t="s">
        <v>8067</v>
      </c>
      <c r="Y505" t="s">
        <v>8068</v>
      </c>
      <c r="Z505" t="s">
        <v>8069</v>
      </c>
      <c r="AA505" t="s">
        <v>8056</v>
      </c>
      <c r="AB505" t="s">
        <v>8070</v>
      </c>
      <c r="AC505" t="s">
        <v>74</v>
      </c>
      <c r="AD505" t="s">
        <v>74</v>
      </c>
      <c r="AE505" t="s">
        <v>74</v>
      </c>
      <c r="AF505" t="s">
        <v>74</v>
      </c>
      <c r="AG505">
        <v>30</v>
      </c>
      <c r="AH505">
        <v>27</v>
      </c>
      <c r="AI505">
        <v>31</v>
      </c>
      <c r="AJ505">
        <v>2</v>
      </c>
      <c r="AK505">
        <v>18</v>
      </c>
      <c r="AL505" t="s">
        <v>221</v>
      </c>
      <c r="AM505" t="s">
        <v>678</v>
      </c>
      <c r="AN505" t="s">
        <v>2692</v>
      </c>
      <c r="AO505" t="s">
        <v>8000</v>
      </c>
      <c r="AP505" t="s">
        <v>8016</v>
      </c>
      <c r="AQ505" t="s">
        <v>74</v>
      </c>
      <c r="AR505" t="s">
        <v>8001</v>
      </c>
      <c r="AS505" t="s">
        <v>8002</v>
      </c>
      <c r="AT505" t="s">
        <v>7963</v>
      </c>
      <c r="AU505">
        <v>2006</v>
      </c>
      <c r="AV505">
        <v>18</v>
      </c>
      <c r="AW505">
        <v>4</v>
      </c>
      <c r="AX505" t="s">
        <v>74</v>
      </c>
      <c r="AY505" t="s">
        <v>74</v>
      </c>
      <c r="AZ505" t="s">
        <v>74</v>
      </c>
      <c r="BA505" t="s">
        <v>74</v>
      </c>
      <c r="BB505">
        <v>507</v>
      </c>
      <c r="BC505">
        <v>514</v>
      </c>
      <c r="BD505" t="s">
        <v>74</v>
      </c>
      <c r="BE505" t="s">
        <v>8071</v>
      </c>
      <c r="BF505" t="str">
        <f>HYPERLINK("http://dx.doi.org/10.1017/S0954102006000551","http://dx.doi.org/10.1017/S0954102006000551")</f>
        <v>http://dx.doi.org/10.1017/S0954102006000551</v>
      </c>
      <c r="BG505" t="s">
        <v>74</v>
      </c>
      <c r="BH505" t="s">
        <v>74</v>
      </c>
      <c r="BI505">
        <v>8</v>
      </c>
      <c r="BJ505" t="s">
        <v>3377</v>
      </c>
      <c r="BK505" t="s">
        <v>97</v>
      </c>
      <c r="BL505" t="s">
        <v>3378</v>
      </c>
      <c r="BM505" t="s">
        <v>8004</v>
      </c>
      <c r="BN505" t="s">
        <v>74</v>
      </c>
      <c r="BO505" t="s">
        <v>1384</v>
      </c>
      <c r="BP505" t="s">
        <v>74</v>
      </c>
      <c r="BQ505" t="s">
        <v>74</v>
      </c>
      <c r="BR505" t="s">
        <v>100</v>
      </c>
      <c r="BS505" t="s">
        <v>8072</v>
      </c>
      <c r="BT505" t="str">
        <f>HYPERLINK("https%3A%2F%2Fwww.webofscience.com%2Fwos%2Fwoscc%2Ffull-record%2FWOS:000242638900006","View Full Record in Web of Science")</f>
        <v>View Full Record in Web of Science</v>
      </c>
    </row>
    <row r="506" spans="1:72" x14ac:dyDescent="0.15">
      <c r="A506" t="s">
        <v>72</v>
      </c>
      <c r="B506" t="s">
        <v>8073</v>
      </c>
      <c r="C506" t="s">
        <v>74</v>
      </c>
      <c r="D506" t="s">
        <v>74</v>
      </c>
      <c r="E506" t="s">
        <v>74</v>
      </c>
      <c r="F506" t="s">
        <v>8074</v>
      </c>
      <c r="G506" t="s">
        <v>74</v>
      </c>
      <c r="H506" t="s">
        <v>74</v>
      </c>
      <c r="I506" t="s">
        <v>8075</v>
      </c>
      <c r="J506" t="s">
        <v>7998</v>
      </c>
      <c r="K506" t="s">
        <v>74</v>
      </c>
      <c r="L506" t="s">
        <v>74</v>
      </c>
      <c r="M506" t="s">
        <v>78</v>
      </c>
      <c r="N506" t="s">
        <v>79</v>
      </c>
      <c r="O506" t="s">
        <v>74</v>
      </c>
      <c r="P506" t="s">
        <v>74</v>
      </c>
      <c r="Q506" t="s">
        <v>74</v>
      </c>
      <c r="R506" t="s">
        <v>74</v>
      </c>
      <c r="S506" t="s">
        <v>74</v>
      </c>
      <c r="T506" t="s">
        <v>8076</v>
      </c>
      <c r="U506" t="s">
        <v>8077</v>
      </c>
      <c r="V506" t="s">
        <v>8078</v>
      </c>
      <c r="W506" t="s">
        <v>8079</v>
      </c>
      <c r="X506" t="s">
        <v>8080</v>
      </c>
      <c r="Y506" t="s">
        <v>8081</v>
      </c>
      <c r="Z506" t="s">
        <v>8082</v>
      </c>
      <c r="AA506" t="s">
        <v>74</v>
      </c>
      <c r="AB506" t="s">
        <v>8083</v>
      </c>
      <c r="AC506" t="s">
        <v>74</v>
      </c>
      <c r="AD506" t="s">
        <v>74</v>
      </c>
      <c r="AE506" t="s">
        <v>74</v>
      </c>
      <c r="AF506" t="s">
        <v>74</v>
      </c>
      <c r="AG506">
        <v>30</v>
      </c>
      <c r="AH506">
        <v>34</v>
      </c>
      <c r="AI506">
        <v>35</v>
      </c>
      <c r="AJ506">
        <v>0</v>
      </c>
      <c r="AK506">
        <v>13</v>
      </c>
      <c r="AL506" t="s">
        <v>221</v>
      </c>
      <c r="AM506" t="s">
        <v>678</v>
      </c>
      <c r="AN506" t="s">
        <v>2692</v>
      </c>
      <c r="AO506" t="s">
        <v>8000</v>
      </c>
      <c r="AP506" t="s">
        <v>74</v>
      </c>
      <c r="AQ506" t="s">
        <v>74</v>
      </c>
      <c r="AR506" t="s">
        <v>8001</v>
      </c>
      <c r="AS506" t="s">
        <v>8002</v>
      </c>
      <c r="AT506" t="s">
        <v>7963</v>
      </c>
      <c r="AU506">
        <v>2006</v>
      </c>
      <c r="AV506">
        <v>18</v>
      </c>
      <c r="AW506">
        <v>4</v>
      </c>
      <c r="AX506" t="s">
        <v>74</v>
      </c>
      <c r="AY506" t="s">
        <v>74</v>
      </c>
      <c r="AZ506" t="s">
        <v>74</v>
      </c>
      <c r="BA506" t="s">
        <v>74</v>
      </c>
      <c r="BB506">
        <v>515</v>
      </c>
      <c r="BC506">
        <v>524</v>
      </c>
      <c r="BD506" t="s">
        <v>74</v>
      </c>
      <c r="BE506" t="s">
        <v>8084</v>
      </c>
      <c r="BF506" t="str">
        <f>HYPERLINK("http://dx.doi.org/10.1017/S0954102006000563","http://dx.doi.org/10.1017/S0954102006000563")</f>
        <v>http://dx.doi.org/10.1017/S0954102006000563</v>
      </c>
      <c r="BG506" t="s">
        <v>74</v>
      </c>
      <c r="BH506" t="s">
        <v>74</v>
      </c>
      <c r="BI506">
        <v>10</v>
      </c>
      <c r="BJ506" t="s">
        <v>3377</v>
      </c>
      <c r="BK506" t="s">
        <v>97</v>
      </c>
      <c r="BL506" t="s">
        <v>3378</v>
      </c>
      <c r="BM506" t="s">
        <v>8004</v>
      </c>
      <c r="BN506" t="s">
        <v>74</v>
      </c>
      <c r="BO506" t="s">
        <v>74</v>
      </c>
      <c r="BP506" t="s">
        <v>74</v>
      </c>
      <c r="BQ506" t="s">
        <v>74</v>
      </c>
      <c r="BR506" t="s">
        <v>100</v>
      </c>
      <c r="BS506" t="s">
        <v>8085</v>
      </c>
      <c r="BT506" t="str">
        <f>HYPERLINK("https%3A%2F%2Fwww.webofscience.com%2Fwos%2Fwoscc%2Ffull-record%2FWOS:000242638900007","View Full Record in Web of Science")</f>
        <v>View Full Record in Web of Science</v>
      </c>
    </row>
    <row r="507" spans="1:72" x14ac:dyDescent="0.15">
      <c r="A507" t="s">
        <v>72</v>
      </c>
      <c r="B507" t="s">
        <v>8086</v>
      </c>
      <c r="C507" t="s">
        <v>74</v>
      </c>
      <c r="D507" t="s">
        <v>74</v>
      </c>
      <c r="E507" t="s">
        <v>74</v>
      </c>
      <c r="F507" t="s">
        <v>8087</v>
      </c>
      <c r="G507" t="s">
        <v>74</v>
      </c>
      <c r="H507" t="s">
        <v>74</v>
      </c>
      <c r="I507" t="s">
        <v>8088</v>
      </c>
      <c r="J507" t="s">
        <v>7998</v>
      </c>
      <c r="K507" t="s">
        <v>74</v>
      </c>
      <c r="L507" t="s">
        <v>74</v>
      </c>
      <c r="M507" t="s">
        <v>78</v>
      </c>
      <c r="N507" t="s">
        <v>79</v>
      </c>
      <c r="O507" t="s">
        <v>74</v>
      </c>
      <c r="P507" t="s">
        <v>74</v>
      </c>
      <c r="Q507" t="s">
        <v>74</v>
      </c>
      <c r="R507" t="s">
        <v>74</v>
      </c>
      <c r="S507" t="s">
        <v>74</v>
      </c>
      <c r="T507" t="s">
        <v>8089</v>
      </c>
      <c r="U507" t="s">
        <v>8090</v>
      </c>
      <c r="V507" t="s">
        <v>8091</v>
      </c>
      <c r="W507" t="s">
        <v>8092</v>
      </c>
      <c r="X507" t="s">
        <v>8093</v>
      </c>
      <c r="Y507" t="s">
        <v>8081</v>
      </c>
      <c r="Z507" t="s">
        <v>8082</v>
      </c>
      <c r="AA507" t="s">
        <v>74</v>
      </c>
      <c r="AB507" t="s">
        <v>8094</v>
      </c>
      <c r="AC507" t="s">
        <v>74</v>
      </c>
      <c r="AD507" t="s">
        <v>74</v>
      </c>
      <c r="AE507" t="s">
        <v>74</v>
      </c>
      <c r="AF507" t="s">
        <v>74</v>
      </c>
      <c r="AG507">
        <v>22</v>
      </c>
      <c r="AH507">
        <v>40</v>
      </c>
      <c r="AI507">
        <v>45</v>
      </c>
      <c r="AJ507">
        <v>0</v>
      </c>
      <c r="AK507">
        <v>6</v>
      </c>
      <c r="AL507" t="s">
        <v>221</v>
      </c>
      <c r="AM507" t="s">
        <v>678</v>
      </c>
      <c r="AN507" t="s">
        <v>2692</v>
      </c>
      <c r="AO507" t="s">
        <v>8000</v>
      </c>
      <c r="AP507" t="s">
        <v>74</v>
      </c>
      <c r="AQ507" t="s">
        <v>74</v>
      </c>
      <c r="AR507" t="s">
        <v>8001</v>
      </c>
      <c r="AS507" t="s">
        <v>8002</v>
      </c>
      <c r="AT507" t="s">
        <v>7963</v>
      </c>
      <c r="AU507">
        <v>2006</v>
      </c>
      <c r="AV507">
        <v>18</v>
      </c>
      <c r="AW507">
        <v>4</v>
      </c>
      <c r="AX507" t="s">
        <v>74</v>
      </c>
      <c r="AY507" t="s">
        <v>74</v>
      </c>
      <c r="AZ507" t="s">
        <v>74</v>
      </c>
      <c r="BA507" t="s">
        <v>74</v>
      </c>
      <c r="BB507">
        <v>525</v>
      </c>
      <c r="BC507">
        <v>533</v>
      </c>
      <c r="BD507" t="s">
        <v>74</v>
      </c>
      <c r="BE507" t="s">
        <v>8095</v>
      </c>
      <c r="BF507" t="str">
        <f>HYPERLINK("http://dx.doi.org/10.1017/S0954102006000575","http://dx.doi.org/10.1017/S0954102006000575")</f>
        <v>http://dx.doi.org/10.1017/S0954102006000575</v>
      </c>
      <c r="BG507" t="s">
        <v>74</v>
      </c>
      <c r="BH507" t="s">
        <v>74</v>
      </c>
      <c r="BI507">
        <v>9</v>
      </c>
      <c r="BJ507" t="s">
        <v>3377</v>
      </c>
      <c r="BK507" t="s">
        <v>97</v>
      </c>
      <c r="BL507" t="s">
        <v>3378</v>
      </c>
      <c r="BM507" t="s">
        <v>8004</v>
      </c>
      <c r="BN507" t="s">
        <v>74</v>
      </c>
      <c r="BO507" t="s">
        <v>74</v>
      </c>
      <c r="BP507" t="s">
        <v>74</v>
      </c>
      <c r="BQ507" t="s">
        <v>74</v>
      </c>
      <c r="BR507" t="s">
        <v>100</v>
      </c>
      <c r="BS507" t="s">
        <v>8096</v>
      </c>
      <c r="BT507" t="str">
        <f>HYPERLINK("https%3A%2F%2Fwww.webofscience.com%2Fwos%2Fwoscc%2Ffull-record%2FWOS:000242638900008","View Full Record in Web of Science")</f>
        <v>View Full Record in Web of Science</v>
      </c>
    </row>
    <row r="508" spans="1:72" x14ac:dyDescent="0.15">
      <c r="A508" t="s">
        <v>72</v>
      </c>
      <c r="B508" t="s">
        <v>8097</v>
      </c>
      <c r="C508" t="s">
        <v>74</v>
      </c>
      <c r="D508" t="s">
        <v>74</v>
      </c>
      <c r="E508" t="s">
        <v>74</v>
      </c>
      <c r="F508" t="s">
        <v>8098</v>
      </c>
      <c r="G508" t="s">
        <v>74</v>
      </c>
      <c r="H508" t="s">
        <v>74</v>
      </c>
      <c r="I508" t="s">
        <v>8099</v>
      </c>
      <c r="J508" t="s">
        <v>7998</v>
      </c>
      <c r="K508" t="s">
        <v>74</v>
      </c>
      <c r="L508" t="s">
        <v>74</v>
      </c>
      <c r="M508" t="s">
        <v>78</v>
      </c>
      <c r="N508" t="s">
        <v>79</v>
      </c>
      <c r="O508" t="s">
        <v>74</v>
      </c>
      <c r="P508" t="s">
        <v>74</v>
      </c>
      <c r="Q508" t="s">
        <v>74</v>
      </c>
      <c r="R508" t="s">
        <v>74</v>
      </c>
      <c r="S508" t="s">
        <v>74</v>
      </c>
      <c r="T508" t="s">
        <v>8100</v>
      </c>
      <c r="U508" t="s">
        <v>8101</v>
      </c>
      <c r="V508" t="s">
        <v>8102</v>
      </c>
      <c r="W508" t="s">
        <v>8103</v>
      </c>
      <c r="X508" t="s">
        <v>8104</v>
      </c>
      <c r="Y508" t="s">
        <v>8105</v>
      </c>
      <c r="Z508" t="s">
        <v>8106</v>
      </c>
      <c r="AA508" t="s">
        <v>8107</v>
      </c>
      <c r="AB508" t="s">
        <v>8108</v>
      </c>
      <c r="AC508" t="s">
        <v>8109</v>
      </c>
      <c r="AD508" t="s">
        <v>8110</v>
      </c>
      <c r="AE508" t="s">
        <v>74</v>
      </c>
      <c r="AF508" t="s">
        <v>74</v>
      </c>
      <c r="AG508">
        <v>81</v>
      </c>
      <c r="AH508">
        <v>110</v>
      </c>
      <c r="AI508">
        <v>127</v>
      </c>
      <c r="AJ508">
        <v>0</v>
      </c>
      <c r="AK508">
        <v>29</v>
      </c>
      <c r="AL508" t="s">
        <v>221</v>
      </c>
      <c r="AM508" t="s">
        <v>678</v>
      </c>
      <c r="AN508" t="s">
        <v>2692</v>
      </c>
      <c r="AO508" t="s">
        <v>8000</v>
      </c>
      <c r="AP508" t="s">
        <v>8016</v>
      </c>
      <c r="AQ508" t="s">
        <v>74</v>
      </c>
      <c r="AR508" t="s">
        <v>8001</v>
      </c>
      <c r="AS508" t="s">
        <v>8002</v>
      </c>
      <c r="AT508" t="s">
        <v>7963</v>
      </c>
      <c r="AU508">
        <v>2006</v>
      </c>
      <c r="AV508">
        <v>18</v>
      </c>
      <c r="AW508">
        <v>4</v>
      </c>
      <c r="AX508" t="s">
        <v>74</v>
      </c>
      <c r="AY508" t="s">
        <v>74</v>
      </c>
      <c r="AZ508" t="s">
        <v>74</v>
      </c>
      <c r="BA508" t="s">
        <v>74</v>
      </c>
      <c r="BB508">
        <v>535</v>
      </c>
      <c r="BC508">
        <v>548</v>
      </c>
      <c r="BD508" t="s">
        <v>74</v>
      </c>
      <c r="BE508" t="s">
        <v>8111</v>
      </c>
      <c r="BF508" t="str">
        <f>HYPERLINK("http://dx.doi.org/10.1017/S0954102006000587","http://dx.doi.org/10.1017/S0954102006000587")</f>
        <v>http://dx.doi.org/10.1017/S0954102006000587</v>
      </c>
      <c r="BG508" t="s">
        <v>74</v>
      </c>
      <c r="BH508" t="s">
        <v>74</v>
      </c>
      <c r="BI508">
        <v>14</v>
      </c>
      <c r="BJ508" t="s">
        <v>3377</v>
      </c>
      <c r="BK508" t="s">
        <v>97</v>
      </c>
      <c r="BL508" t="s">
        <v>3378</v>
      </c>
      <c r="BM508" t="s">
        <v>8004</v>
      </c>
      <c r="BN508" t="s">
        <v>74</v>
      </c>
      <c r="BO508" t="s">
        <v>1384</v>
      </c>
      <c r="BP508" t="s">
        <v>74</v>
      </c>
      <c r="BQ508" t="s">
        <v>74</v>
      </c>
      <c r="BR508" t="s">
        <v>100</v>
      </c>
      <c r="BS508" t="s">
        <v>8112</v>
      </c>
      <c r="BT508" t="str">
        <f>HYPERLINK("https%3A%2F%2Fwww.webofscience.com%2Fwos%2Fwoscc%2Ffull-record%2FWOS:000242638900009","View Full Record in Web of Science")</f>
        <v>View Full Record in Web of Science</v>
      </c>
    </row>
    <row r="509" spans="1:72" x14ac:dyDescent="0.15">
      <c r="A509" t="s">
        <v>72</v>
      </c>
      <c r="B509" t="s">
        <v>8113</v>
      </c>
      <c r="C509" t="s">
        <v>74</v>
      </c>
      <c r="D509" t="s">
        <v>74</v>
      </c>
      <c r="E509" t="s">
        <v>74</v>
      </c>
      <c r="F509" t="s">
        <v>8114</v>
      </c>
      <c r="G509" t="s">
        <v>74</v>
      </c>
      <c r="H509" t="s">
        <v>74</v>
      </c>
      <c r="I509" t="s">
        <v>8115</v>
      </c>
      <c r="J509" t="s">
        <v>7998</v>
      </c>
      <c r="K509" t="s">
        <v>74</v>
      </c>
      <c r="L509" t="s">
        <v>74</v>
      </c>
      <c r="M509" t="s">
        <v>78</v>
      </c>
      <c r="N509" t="s">
        <v>79</v>
      </c>
      <c r="O509" t="s">
        <v>74</v>
      </c>
      <c r="P509" t="s">
        <v>74</v>
      </c>
      <c r="Q509" t="s">
        <v>74</v>
      </c>
      <c r="R509" t="s">
        <v>74</v>
      </c>
      <c r="S509" t="s">
        <v>74</v>
      </c>
      <c r="T509" t="s">
        <v>8116</v>
      </c>
      <c r="U509" t="s">
        <v>8117</v>
      </c>
      <c r="V509" t="s">
        <v>8118</v>
      </c>
      <c r="W509" t="s">
        <v>8119</v>
      </c>
      <c r="X509" t="s">
        <v>8120</v>
      </c>
      <c r="Y509" t="s">
        <v>8121</v>
      </c>
      <c r="Z509" t="s">
        <v>8122</v>
      </c>
      <c r="AA509" t="s">
        <v>8123</v>
      </c>
      <c r="AB509" t="s">
        <v>8124</v>
      </c>
      <c r="AC509" t="s">
        <v>74</v>
      </c>
      <c r="AD509" t="s">
        <v>74</v>
      </c>
      <c r="AE509" t="s">
        <v>74</v>
      </c>
      <c r="AF509" t="s">
        <v>74</v>
      </c>
      <c r="AG509">
        <v>29</v>
      </c>
      <c r="AH509">
        <v>22</v>
      </c>
      <c r="AI509">
        <v>23</v>
      </c>
      <c r="AJ509">
        <v>0</v>
      </c>
      <c r="AK509">
        <v>13</v>
      </c>
      <c r="AL509" t="s">
        <v>221</v>
      </c>
      <c r="AM509" t="s">
        <v>678</v>
      </c>
      <c r="AN509" t="s">
        <v>2692</v>
      </c>
      <c r="AO509" t="s">
        <v>8000</v>
      </c>
      <c r="AP509" t="s">
        <v>8016</v>
      </c>
      <c r="AQ509" t="s">
        <v>74</v>
      </c>
      <c r="AR509" t="s">
        <v>8001</v>
      </c>
      <c r="AS509" t="s">
        <v>8002</v>
      </c>
      <c r="AT509" t="s">
        <v>7963</v>
      </c>
      <c r="AU509">
        <v>2006</v>
      </c>
      <c r="AV509">
        <v>18</v>
      </c>
      <c r="AW509">
        <v>4</v>
      </c>
      <c r="AX509" t="s">
        <v>74</v>
      </c>
      <c r="AY509" t="s">
        <v>74</v>
      </c>
      <c r="AZ509" t="s">
        <v>74</v>
      </c>
      <c r="BA509" t="s">
        <v>74</v>
      </c>
      <c r="BB509">
        <v>549</v>
      </c>
      <c r="BC509">
        <v>560</v>
      </c>
      <c r="BD509" t="s">
        <v>74</v>
      </c>
      <c r="BE509" t="s">
        <v>8125</v>
      </c>
      <c r="BF509" t="str">
        <f>HYPERLINK("http://dx.doi.org/10.1017/S0954102006000599","http://dx.doi.org/10.1017/S0954102006000599")</f>
        <v>http://dx.doi.org/10.1017/S0954102006000599</v>
      </c>
      <c r="BG509" t="s">
        <v>74</v>
      </c>
      <c r="BH509" t="s">
        <v>74</v>
      </c>
      <c r="BI509">
        <v>12</v>
      </c>
      <c r="BJ509" t="s">
        <v>3377</v>
      </c>
      <c r="BK509" t="s">
        <v>97</v>
      </c>
      <c r="BL509" t="s">
        <v>3378</v>
      </c>
      <c r="BM509" t="s">
        <v>8004</v>
      </c>
      <c r="BN509" t="s">
        <v>74</v>
      </c>
      <c r="BO509" t="s">
        <v>74</v>
      </c>
      <c r="BP509" t="s">
        <v>74</v>
      </c>
      <c r="BQ509" t="s">
        <v>74</v>
      </c>
      <c r="BR509" t="s">
        <v>100</v>
      </c>
      <c r="BS509" t="s">
        <v>8126</v>
      </c>
      <c r="BT509" t="str">
        <f>HYPERLINK("https%3A%2F%2Fwww.webofscience.com%2Fwos%2Fwoscc%2Ffull-record%2FWOS:000242638900010","View Full Record in Web of Science")</f>
        <v>View Full Record in Web of Science</v>
      </c>
    </row>
    <row r="510" spans="1:72" x14ac:dyDescent="0.15">
      <c r="A510" t="s">
        <v>72</v>
      </c>
      <c r="B510" t="s">
        <v>8127</v>
      </c>
      <c r="C510" t="s">
        <v>74</v>
      </c>
      <c r="D510" t="s">
        <v>74</v>
      </c>
      <c r="E510" t="s">
        <v>74</v>
      </c>
      <c r="F510" t="s">
        <v>8128</v>
      </c>
      <c r="G510" t="s">
        <v>74</v>
      </c>
      <c r="H510" t="s">
        <v>74</v>
      </c>
      <c r="I510" t="s">
        <v>8129</v>
      </c>
      <c r="J510" t="s">
        <v>7998</v>
      </c>
      <c r="K510" t="s">
        <v>74</v>
      </c>
      <c r="L510" t="s">
        <v>74</v>
      </c>
      <c r="M510" t="s">
        <v>78</v>
      </c>
      <c r="N510" t="s">
        <v>79</v>
      </c>
      <c r="O510" t="s">
        <v>74</v>
      </c>
      <c r="P510" t="s">
        <v>74</v>
      </c>
      <c r="Q510" t="s">
        <v>74</v>
      </c>
      <c r="R510" t="s">
        <v>74</v>
      </c>
      <c r="S510" t="s">
        <v>74</v>
      </c>
      <c r="T510" t="s">
        <v>8130</v>
      </c>
      <c r="U510" t="s">
        <v>8131</v>
      </c>
      <c r="V510" t="s">
        <v>8132</v>
      </c>
      <c r="W510" t="s">
        <v>8133</v>
      </c>
      <c r="X510" t="s">
        <v>8134</v>
      </c>
      <c r="Y510" t="s">
        <v>8135</v>
      </c>
      <c r="Z510" t="s">
        <v>8136</v>
      </c>
      <c r="AA510" t="s">
        <v>8137</v>
      </c>
      <c r="AB510" t="s">
        <v>8138</v>
      </c>
      <c r="AC510" t="s">
        <v>74</v>
      </c>
      <c r="AD510" t="s">
        <v>74</v>
      </c>
      <c r="AE510" t="s">
        <v>74</v>
      </c>
      <c r="AF510" t="s">
        <v>74</v>
      </c>
      <c r="AG510">
        <v>30</v>
      </c>
      <c r="AH510">
        <v>19</v>
      </c>
      <c r="AI510">
        <v>19</v>
      </c>
      <c r="AJ510">
        <v>0</v>
      </c>
      <c r="AK510">
        <v>19</v>
      </c>
      <c r="AL510" t="s">
        <v>221</v>
      </c>
      <c r="AM510" t="s">
        <v>678</v>
      </c>
      <c r="AN510" t="s">
        <v>2692</v>
      </c>
      <c r="AO510" t="s">
        <v>8000</v>
      </c>
      <c r="AP510" t="s">
        <v>8016</v>
      </c>
      <c r="AQ510" t="s">
        <v>74</v>
      </c>
      <c r="AR510" t="s">
        <v>8001</v>
      </c>
      <c r="AS510" t="s">
        <v>8002</v>
      </c>
      <c r="AT510" t="s">
        <v>7963</v>
      </c>
      <c r="AU510">
        <v>2006</v>
      </c>
      <c r="AV510">
        <v>18</v>
      </c>
      <c r="AW510">
        <v>4</v>
      </c>
      <c r="AX510" t="s">
        <v>74</v>
      </c>
      <c r="AY510" t="s">
        <v>74</v>
      </c>
      <c r="AZ510" t="s">
        <v>74</v>
      </c>
      <c r="BA510" t="s">
        <v>74</v>
      </c>
      <c r="BB510">
        <v>561</v>
      </c>
      <c r="BC510">
        <v>572</v>
      </c>
      <c r="BD510" t="s">
        <v>74</v>
      </c>
      <c r="BE510" t="s">
        <v>8139</v>
      </c>
      <c r="BF510" t="str">
        <f>HYPERLINK("http://dx.doi.org/10.1017/S0954102006000605","http://dx.doi.org/10.1017/S0954102006000605")</f>
        <v>http://dx.doi.org/10.1017/S0954102006000605</v>
      </c>
      <c r="BG510" t="s">
        <v>74</v>
      </c>
      <c r="BH510" t="s">
        <v>74</v>
      </c>
      <c r="BI510">
        <v>12</v>
      </c>
      <c r="BJ510" t="s">
        <v>3377</v>
      </c>
      <c r="BK510" t="s">
        <v>97</v>
      </c>
      <c r="BL510" t="s">
        <v>3378</v>
      </c>
      <c r="BM510" t="s">
        <v>8004</v>
      </c>
      <c r="BN510" t="s">
        <v>74</v>
      </c>
      <c r="BO510" t="s">
        <v>1384</v>
      </c>
      <c r="BP510" t="s">
        <v>74</v>
      </c>
      <c r="BQ510" t="s">
        <v>74</v>
      </c>
      <c r="BR510" t="s">
        <v>100</v>
      </c>
      <c r="BS510" t="s">
        <v>8140</v>
      </c>
      <c r="BT510" t="str">
        <f>HYPERLINK("https%3A%2F%2Fwww.webofscience.com%2Fwos%2Fwoscc%2Ffull-record%2FWOS:000242638900011","View Full Record in Web of Science")</f>
        <v>View Full Record in Web of Science</v>
      </c>
    </row>
    <row r="511" spans="1:72" x14ac:dyDescent="0.15">
      <c r="A511" t="s">
        <v>72</v>
      </c>
      <c r="B511" t="s">
        <v>8141</v>
      </c>
      <c r="C511" t="s">
        <v>74</v>
      </c>
      <c r="D511" t="s">
        <v>74</v>
      </c>
      <c r="E511" t="s">
        <v>74</v>
      </c>
      <c r="F511" t="s">
        <v>8142</v>
      </c>
      <c r="G511" t="s">
        <v>74</v>
      </c>
      <c r="H511" t="s">
        <v>74</v>
      </c>
      <c r="I511" t="s">
        <v>8143</v>
      </c>
      <c r="J511" t="s">
        <v>7998</v>
      </c>
      <c r="K511" t="s">
        <v>74</v>
      </c>
      <c r="L511" t="s">
        <v>74</v>
      </c>
      <c r="M511" t="s">
        <v>78</v>
      </c>
      <c r="N511" t="s">
        <v>79</v>
      </c>
      <c r="O511" t="s">
        <v>74</v>
      </c>
      <c r="P511" t="s">
        <v>74</v>
      </c>
      <c r="Q511" t="s">
        <v>74</v>
      </c>
      <c r="R511" t="s">
        <v>74</v>
      </c>
      <c r="S511" t="s">
        <v>74</v>
      </c>
      <c r="T511" t="s">
        <v>8144</v>
      </c>
      <c r="U511" t="s">
        <v>8145</v>
      </c>
      <c r="V511" t="s">
        <v>8146</v>
      </c>
      <c r="W511" t="s">
        <v>8147</v>
      </c>
      <c r="X511" t="s">
        <v>8148</v>
      </c>
      <c r="Y511" t="s">
        <v>8149</v>
      </c>
      <c r="Z511" t="s">
        <v>8150</v>
      </c>
      <c r="AA511" t="s">
        <v>8151</v>
      </c>
      <c r="AB511" t="s">
        <v>8152</v>
      </c>
      <c r="AC511" t="s">
        <v>74</v>
      </c>
      <c r="AD511" t="s">
        <v>74</v>
      </c>
      <c r="AE511" t="s">
        <v>74</v>
      </c>
      <c r="AF511" t="s">
        <v>74</v>
      </c>
      <c r="AG511">
        <v>30</v>
      </c>
      <c r="AH511">
        <v>25</v>
      </c>
      <c r="AI511">
        <v>30</v>
      </c>
      <c r="AJ511">
        <v>1</v>
      </c>
      <c r="AK511">
        <v>13</v>
      </c>
      <c r="AL511" t="s">
        <v>221</v>
      </c>
      <c r="AM511" t="s">
        <v>678</v>
      </c>
      <c r="AN511" t="s">
        <v>2692</v>
      </c>
      <c r="AO511" t="s">
        <v>8000</v>
      </c>
      <c r="AP511" t="s">
        <v>74</v>
      </c>
      <c r="AQ511" t="s">
        <v>74</v>
      </c>
      <c r="AR511" t="s">
        <v>8001</v>
      </c>
      <c r="AS511" t="s">
        <v>8002</v>
      </c>
      <c r="AT511" t="s">
        <v>7963</v>
      </c>
      <c r="AU511">
        <v>2006</v>
      </c>
      <c r="AV511">
        <v>18</v>
      </c>
      <c r="AW511">
        <v>4</v>
      </c>
      <c r="AX511" t="s">
        <v>74</v>
      </c>
      <c r="AY511" t="s">
        <v>74</v>
      </c>
      <c r="AZ511" t="s">
        <v>74</v>
      </c>
      <c r="BA511" t="s">
        <v>74</v>
      </c>
      <c r="BB511">
        <v>573</v>
      </c>
      <c r="BC511">
        <v>581</v>
      </c>
      <c r="BD511" t="s">
        <v>74</v>
      </c>
      <c r="BE511" t="s">
        <v>8153</v>
      </c>
      <c r="BF511" t="str">
        <f>HYPERLINK("http://dx.doi.org/10.1017/S0954102006000617","http://dx.doi.org/10.1017/S0954102006000617")</f>
        <v>http://dx.doi.org/10.1017/S0954102006000617</v>
      </c>
      <c r="BG511" t="s">
        <v>74</v>
      </c>
      <c r="BH511" t="s">
        <v>74</v>
      </c>
      <c r="BI511">
        <v>9</v>
      </c>
      <c r="BJ511" t="s">
        <v>3377</v>
      </c>
      <c r="BK511" t="s">
        <v>97</v>
      </c>
      <c r="BL511" t="s">
        <v>3378</v>
      </c>
      <c r="BM511" t="s">
        <v>8004</v>
      </c>
      <c r="BN511" t="s">
        <v>74</v>
      </c>
      <c r="BO511" t="s">
        <v>74</v>
      </c>
      <c r="BP511" t="s">
        <v>74</v>
      </c>
      <c r="BQ511" t="s">
        <v>74</v>
      </c>
      <c r="BR511" t="s">
        <v>100</v>
      </c>
      <c r="BS511" t="s">
        <v>8154</v>
      </c>
      <c r="BT511" t="str">
        <f>HYPERLINK("https%3A%2F%2Fwww.webofscience.com%2Fwos%2Fwoscc%2Ffull-record%2FWOS:000242638900012","View Full Record in Web of Science")</f>
        <v>View Full Record in Web of Science</v>
      </c>
    </row>
    <row r="512" spans="1:72" x14ac:dyDescent="0.15">
      <c r="A512" t="s">
        <v>72</v>
      </c>
      <c r="B512" t="s">
        <v>8155</v>
      </c>
      <c r="C512" t="s">
        <v>74</v>
      </c>
      <c r="D512" t="s">
        <v>74</v>
      </c>
      <c r="E512" t="s">
        <v>74</v>
      </c>
      <c r="F512" t="s">
        <v>8156</v>
      </c>
      <c r="G512" t="s">
        <v>74</v>
      </c>
      <c r="H512" t="s">
        <v>74</v>
      </c>
      <c r="I512" t="s">
        <v>8157</v>
      </c>
      <c r="J512" t="s">
        <v>7998</v>
      </c>
      <c r="K512" t="s">
        <v>74</v>
      </c>
      <c r="L512" t="s">
        <v>74</v>
      </c>
      <c r="M512" t="s">
        <v>78</v>
      </c>
      <c r="N512" t="s">
        <v>79</v>
      </c>
      <c r="O512" t="s">
        <v>74</v>
      </c>
      <c r="P512" t="s">
        <v>74</v>
      </c>
      <c r="Q512" t="s">
        <v>74</v>
      </c>
      <c r="R512" t="s">
        <v>74</v>
      </c>
      <c r="S512" t="s">
        <v>74</v>
      </c>
      <c r="T512" t="s">
        <v>8158</v>
      </c>
      <c r="U512" t="s">
        <v>8159</v>
      </c>
      <c r="V512" t="s">
        <v>8160</v>
      </c>
      <c r="W512" t="s">
        <v>8161</v>
      </c>
      <c r="X512" t="s">
        <v>8162</v>
      </c>
      <c r="Y512" t="s">
        <v>8163</v>
      </c>
      <c r="Z512" t="s">
        <v>8164</v>
      </c>
      <c r="AA512" t="s">
        <v>8165</v>
      </c>
      <c r="AB512" t="s">
        <v>8166</v>
      </c>
      <c r="AC512" t="s">
        <v>74</v>
      </c>
      <c r="AD512" t="s">
        <v>74</v>
      </c>
      <c r="AE512" t="s">
        <v>74</v>
      </c>
      <c r="AF512" t="s">
        <v>74</v>
      </c>
      <c r="AG512">
        <v>58</v>
      </c>
      <c r="AH512">
        <v>35</v>
      </c>
      <c r="AI512">
        <v>37</v>
      </c>
      <c r="AJ512">
        <v>0</v>
      </c>
      <c r="AK512">
        <v>10</v>
      </c>
      <c r="AL512" t="s">
        <v>221</v>
      </c>
      <c r="AM512" t="s">
        <v>678</v>
      </c>
      <c r="AN512" t="s">
        <v>2692</v>
      </c>
      <c r="AO512" t="s">
        <v>8000</v>
      </c>
      <c r="AP512" t="s">
        <v>8016</v>
      </c>
      <c r="AQ512" t="s">
        <v>74</v>
      </c>
      <c r="AR512" t="s">
        <v>8001</v>
      </c>
      <c r="AS512" t="s">
        <v>8002</v>
      </c>
      <c r="AT512" t="s">
        <v>7963</v>
      </c>
      <c r="AU512">
        <v>2006</v>
      </c>
      <c r="AV512">
        <v>18</v>
      </c>
      <c r="AW512">
        <v>4</v>
      </c>
      <c r="AX512" t="s">
        <v>74</v>
      </c>
      <c r="AY512" t="s">
        <v>74</v>
      </c>
      <c r="AZ512" t="s">
        <v>74</v>
      </c>
      <c r="BA512" t="s">
        <v>74</v>
      </c>
      <c r="BB512">
        <v>583</v>
      </c>
      <c r="BC512">
        <v>594</v>
      </c>
      <c r="BD512" t="s">
        <v>74</v>
      </c>
      <c r="BE512" t="s">
        <v>8167</v>
      </c>
      <c r="BF512" t="str">
        <f>HYPERLINK("http://dx.doi.org/10.1017/S0954102006000629","http://dx.doi.org/10.1017/S0954102006000629")</f>
        <v>http://dx.doi.org/10.1017/S0954102006000629</v>
      </c>
      <c r="BG512" t="s">
        <v>74</v>
      </c>
      <c r="BH512" t="s">
        <v>74</v>
      </c>
      <c r="BI512">
        <v>12</v>
      </c>
      <c r="BJ512" t="s">
        <v>3377</v>
      </c>
      <c r="BK512" t="s">
        <v>97</v>
      </c>
      <c r="BL512" t="s">
        <v>3378</v>
      </c>
      <c r="BM512" t="s">
        <v>8004</v>
      </c>
      <c r="BN512" t="s">
        <v>74</v>
      </c>
      <c r="BO512" t="s">
        <v>5431</v>
      </c>
      <c r="BP512" t="s">
        <v>74</v>
      </c>
      <c r="BQ512" t="s">
        <v>74</v>
      </c>
      <c r="BR512" t="s">
        <v>100</v>
      </c>
      <c r="BS512" t="s">
        <v>8168</v>
      </c>
      <c r="BT512" t="str">
        <f>HYPERLINK("https%3A%2F%2Fwww.webofscience.com%2Fwos%2Fwoscc%2Ffull-record%2FWOS:000242638900013","View Full Record in Web of Science")</f>
        <v>View Full Record in Web of Science</v>
      </c>
    </row>
    <row r="513" spans="1:72" x14ac:dyDescent="0.15">
      <c r="A513" t="s">
        <v>72</v>
      </c>
      <c r="B513" t="s">
        <v>8169</v>
      </c>
      <c r="C513" t="s">
        <v>74</v>
      </c>
      <c r="D513" t="s">
        <v>74</v>
      </c>
      <c r="E513" t="s">
        <v>74</v>
      </c>
      <c r="F513" t="s">
        <v>8170</v>
      </c>
      <c r="G513" t="s">
        <v>74</v>
      </c>
      <c r="H513" t="s">
        <v>74</v>
      </c>
      <c r="I513" t="s">
        <v>8171</v>
      </c>
      <c r="J513" t="s">
        <v>7998</v>
      </c>
      <c r="K513" t="s">
        <v>74</v>
      </c>
      <c r="L513" t="s">
        <v>74</v>
      </c>
      <c r="M513" t="s">
        <v>78</v>
      </c>
      <c r="N513" t="s">
        <v>79</v>
      </c>
      <c r="O513" t="s">
        <v>74</v>
      </c>
      <c r="P513" t="s">
        <v>74</v>
      </c>
      <c r="Q513" t="s">
        <v>74</v>
      </c>
      <c r="R513" t="s">
        <v>74</v>
      </c>
      <c r="S513" t="s">
        <v>74</v>
      </c>
      <c r="T513" t="s">
        <v>8172</v>
      </c>
      <c r="U513" t="s">
        <v>8173</v>
      </c>
      <c r="V513" t="s">
        <v>8174</v>
      </c>
      <c r="W513" t="s">
        <v>8175</v>
      </c>
      <c r="X513" t="s">
        <v>8176</v>
      </c>
      <c r="Y513" t="s">
        <v>8177</v>
      </c>
      <c r="Z513" t="s">
        <v>8178</v>
      </c>
      <c r="AA513" t="s">
        <v>8179</v>
      </c>
      <c r="AB513" t="s">
        <v>8180</v>
      </c>
      <c r="AC513" t="s">
        <v>74</v>
      </c>
      <c r="AD513" t="s">
        <v>74</v>
      </c>
      <c r="AE513" t="s">
        <v>74</v>
      </c>
      <c r="AF513" t="s">
        <v>74</v>
      </c>
      <c r="AG513">
        <v>35</v>
      </c>
      <c r="AH513">
        <v>11</v>
      </c>
      <c r="AI513">
        <v>12</v>
      </c>
      <c r="AJ513">
        <v>1</v>
      </c>
      <c r="AK513">
        <v>7</v>
      </c>
      <c r="AL513" t="s">
        <v>221</v>
      </c>
      <c r="AM513" t="s">
        <v>678</v>
      </c>
      <c r="AN513" t="s">
        <v>2692</v>
      </c>
      <c r="AO513" t="s">
        <v>8000</v>
      </c>
      <c r="AP513" t="s">
        <v>8016</v>
      </c>
      <c r="AQ513" t="s">
        <v>74</v>
      </c>
      <c r="AR513" t="s">
        <v>8001</v>
      </c>
      <c r="AS513" t="s">
        <v>8002</v>
      </c>
      <c r="AT513" t="s">
        <v>7963</v>
      </c>
      <c r="AU513">
        <v>2006</v>
      </c>
      <c r="AV513">
        <v>18</v>
      </c>
      <c r="AW513">
        <v>4</v>
      </c>
      <c r="AX513" t="s">
        <v>74</v>
      </c>
      <c r="AY513" t="s">
        <v>74</v>
      </c>
      <c r="AZ513" t="s">
        <v>74</v>
      </c>
      <c r="BA513" t="s">
        <v>74</v>
      </c>
      <c r="BB513">
        <v>595</v>
      </c>
      <c r="BC513">
        <v>602</v>
      </c>
      <c r="BD513" t="s">
        <v>74</v>
      </c>
      <c r="BE513" t="s">
        <v>8181</v>
      </c>
      <c r="BF513" t="str">
        <f>HYPERLINK("http://dx.doi.org/10.1017/S0954102006000630","http://dx.doi.org/10.1017/S0954102006000630")</f>
        <v>http://dx.doi.org/10.1017/S0954102006000630</v>
      </c>
      <c r="BG513" t="s">
        <v>74</v>
      </c>
      <c r="BH513" t="s">
        <v>74</v>
      </c>
      <c r="BI513">
        <v>8</v>
      </c>
      <c r="BJ513" t="s">
        <v>3377</v>
      </c>
      <c r="BK513" t="s">
        <v>97</v>
      </c>
      <c r="BL513" t="s">
        <v>3378</v>
      </c>
      <c r="BM513" t="s">
        <v>8004</v>
      </c>
      <c r="BN513" t="s">
        <v>74</v>
      </c>
      <c r="BO513" t="s">
        <v>74</v>
      </c>
      <c r="BP513" t="s">
        <v>74</v>
      </c>
      <c r="BQ513" t="s">
        <v>74</v>
      </c>
      <c r="BR513" t="s">
        <v>100</v>
      </c>
      <c r="BS513" t="s">
        <v>8182</v>
      </c>
      <c r="BT513" t="str">
        <f>HYPERLINK("https%3A%2F%2Fwww.webofscience.com%2Fwos%2Fwoscc%2Ffull-record%2FWOS:000242638900014","View Full Record in Web of Science")</f>
        <v>View Full Record in Web of Science</v>
      </c>
    </row>
    <row r="514" spans="1:72" x14ac:dyDescent="0.15">
      <c r="A514" t="s">
        <v>72</v>
      </c>
      <c r="B514" t="s">
        <v>8183</v>
      </c>
      <c r="C514" t="s">
        <v>74</v>
      </c>
      <c r="D514" t="s">
        <v>74</v>
      </c>
      <c r="E514" t="s">
        <v>74</v>
      </c>
      <c r="F514" t="s">
        <v>8184</v>
      </c>
      <c r="G514" t="s">
        <v>74</v>
      </c>
      <c r="H514" t="s">
        <v>74</v>
      </c>
      <c r="I514" t="s">
        <v>8185</v>
      </c>
      <c r="J514" t="s">
        <v>7998</v>
      </c>
      <c r="K514" t="s">
        <v>74</v>
      </c>
      <c r="L514" t="s">
        <v>74</v>
      </c>
      <c r="M514" t="s">
        <v>78</v>
      </c>
      <c r="N514" t="s">
        <v>79</v>
      </c>
      <c r="O514" t="s">
        <v>74</v>
      </c>
      <c r="P514" t="s">
        <v>74</v>
      </c>
      <c r="Q514" t="s">
        <v>74</v>
      </c>
      <c r="R514" t="s">
        <v>74</v>
      </c>
      <c r="S514" t="s">
        <v>74</v>
      </c>
      <c r="T514" t="s">
        <v>8186</v>
      </c>
      <c r="U514" t="s">
        <v>8187</v>
      </c>
      <c r="V514" t="s">
        <v>8188</v>
      </c>
      <c r="W514" t="s">
        <v>8189</v>
      </c>
      <c r="X514" t="s">
        <v>8190</v>
      </c>
      <c r="Y514" t="s">
        <v>8191</v>
      </c>
      <c r="Z514" t="s">
        <v>8192</v>
      </c>
      <c r="AA514" t="s">
        <v>8193</v>
      </c>
      <c r="AB514" t="s">
        <v>8194</v>
      </c>
      <c r="AC514" t="s">
        <v>74</v>
      </c>
      <c r="AD514" t="s">
        <v>74</v>
      </c>
      <c r="AE514" t="s">
        <v>74</v>
      </c>
      <c r="AF514" t="s">
        <v>74</v>
      </c>
      <c r="AG514">
        <v>68</v>
      </c>
      <c r="AH514">
        <v>12</v>
      </c>
      <c r="AI514">
        <v>12</v>
      </c>
      <c r="AJ514">
        <v>0</v>
      </c>
      <c r="AK514">
        <v>9</v>
      </c>
      <c r="AL514" t="s">
        <v>221</v>
      </c>
      <c r="AM514" t="s">
        <v>678</v>
      </c>
      <c r="AN514" t="s">
        <v>2692</v>
      </c>
      <c r="AO514" t="s">
        <v>8000</v>
      </c>
      <c r="AP514" t="s">
        <v>74</v>
      </c>
      <c r="AQ514" t="s">
        <v>74</v>
      </c>
      <c r="AR514" t="s">
        <v>8001</v>
      </c>
      <c r="AS514" t="s">
        <v>8002</v>
      </c>
      <c r="AT514" t="s">
        <v>7963</v>
      </c>
      <c r="AU514">
        <v>2006</v>
      </c>
      <c r="AV514">
        <v>18</v>
      </c>
      <c r="AW514">
        <v>4</v>
      </c>
      <c r="AX514" t="s">
        <v>74</v>
      </c>
      <c r="AY514" t="s">
        <v>74</v>
      </c>
      <c r="AZ514" t="s">
        <v>74</v>
      </c>
      <c r="BA514" t="s">
        <v>74</v>
      </c>
      <c r="BB514">
        <v>603</v>
      </c>
      <c r="BC514">
        <v>613</v>
      </c>
      <c r="BD514" t="s">
        <v>74</v>
      </c>
      <c r="BE514" t="s">
        <v>8195</v>
      </c>
      <c r="BF514" t="str">
        <f>HYPERLINK("http://dx.doi.org/10.1017/S0954102006000642","http://dx.doi.org/10.1017/S0954102006000642")</f>
        <v>http://dx.doi.org/10.1017/S0954102006000642</v>
      </c>
      <c r="BG514" t="s">
        <v>74</v>
      </c>
      <c r="BH514" t="s">
        <v>74</v>
      </c>
      <c r="BI514">
        <v>11</v>
      </c>
      <c r="BJ514" t="s">
        <v>3377</v>
      </c>
      <c r="BK514" t="s">
        <v>97</v>
      </c>
      <c r="BL514" t="s">
        <v>3378</v>
      </c>
      <c r="BM514" t="s">
        <v>8004</v>
      </c>
      <c r="BN514" t="s">
        <v>74</v>
      </c>
      <c r="BO514" t="s">
        <v>74</v>
      </c>
      <c r="BP514" t="s">
        <v>74</v>
      </c>
      <c r="BQ514" t="s">
        <v>74</v>
      </c>
      <c r="BR514" t="s">
        <v>100</v>
      </c>
      <c r="BS514" t="s">
        <v>8196</v>
      </c>
      <c r="BT514" t="str">
        <f>HYPERLINK("https%3A%2F%2Fwww.webofscience.com%2Fwos%2Fwoscc%2Ffull-record%2FWOS:000242638900015","View Full Record in Web of Science")</f>
        <v>View Full Record in Web of Science</v>
      </c>
    </row>
    <row r="515" spans="1:72" x14ac:dyDescent="0.15">
      <c r="A515" t="s">
        <v>72</v>
      </c>
      <c r="B515" t="s">
        <v>8197</v>
      </c>
      <c r="C515" t="s">
        <v>74</v>
      </c>
      <c r="D515" t="s">
        <v>74</v>
      </c>
      <c r="E515" t="s">
        <v>74</v>
      </c>
      <c r="F515" t="s">
        <v>8198</v>
      </c>
      <c r="G515" t="s">
        <v>74</v>
      </c>
      <c r="H515" t="s">
        <v>74</v>
      </c>
      <c r="I515" t="s">
        <v>8199</v>
      </c>
      <c r="J515" t="s">
        <v>7998</v>
      </c>
      <c r="K515" t="s">
        <v>74</v>
      </c>
      <c r="L515" t="s">
        <v>74</v>
      </c>
      <c r="M515" t="s">
        <v>78</v>
      </c>
      <c r="N515" t="s">
        <v>79</v>
      </c>
      <c r="O515" t="s">
        <v>74</v>
      </c>
      <c r="P515" t="s">
        <v>74</v>
      </c>
      <c r="Q515" t="s">
        <v>74</v>
      </c>
      <c r="R515" t="s">
        <v>74</v>
      </c>
      <c r="S515" t="s">
        <v>74</v>
      </c>
      <c r="T515" t="s">
        <v>8200</v>
      </c>
      <c r="U515" t="s">
        <v>8201</v>
      </c>
      <c r="V515" t="s">
        <v>8202</v>
      </c>
      <c r="W515" t="s">
        <v>8203</v>
      </c>
      <c r="X515" t="s">
        <v>8204</v>
      </c>
      <c r="Y515" t="s">
        <v>8205</v>
      </c>
      <c r="Z515" t="s">
        <v>8206</v>
      </c>
      <c r="AA515" t="s">
        <v>8207</v>
      </c>
      <c r="AB515" t="s">
        <v>8208</v>
      </c>
      <c r="AC515" t="s">
        <v>74</v>
      </c>
      <c r="AD515" t="s">
        <v>74</v>
      </c>
      <c r="AE515" t="s">
        <v>74</v>
      </c>
      <c r="AF515" t="s">
        <v>74</v>
      </c>
      <c r="AG515">
        <v>59</v>
      </c>
      <c r="AH515">
        <v>31</v>
      </c>
      <c r="AI515">
        <v>31</v>
      </c>
      <c r="AJ515">
        <v>1</v>
      </c>
      <c r="AK515">
        <v>12</v>
      </c>
      <c r="AL515" t="s">
        <v>221</v>
      </c>
      <c r="AM515" t="s">
        <v>678</v>
      </c>
      <c r="AN515" t="s">
        <v>2692</v>
      </c>
      <c r="AO515" t="s">
        <v>8000</v>
      </c>
      <c r="AP515" t="s">
        <v>8016</v>
      </c>
      <c r="AQ515" t="s">
        <v>74</v>
      </c>
      <c r="AR515" t="s">
        <v>8001</v>
      </c>
      <c r="AS515" t="s">
        <v>8002</v>
      </c>
      <c r="AT515" t="s">
        <v>7963</v>
      </c>
      <c r="AU515">
        <v>2006</v>
      </c>
      <c r="AV515">
        <v>18</v>
      </c>
      <c r="AW515">
        <v>4</v>
      </c>
      <c r="AX515" t="s">
        <v>74</v>
      </c>
      <c r="AY515" t="s">
        <v>74</v>
      </c>
      <c r="AZ515" t="s">
        <v>74</v>
      </c>
      <c r="BA515" t="s">
        <v>74</v>
      </c>
      <c r="BB515">
        <v>615</v>
      </c>
      <c r="BC515">
        <v>631</v>
      </c>
      <c r="BD515" t="s">
        <v>74</v>
      </c>
      <c r="BE515" t="s">
        <v>8209</v>
      </c>
      <c r="BF515" t="str">
        <f>HYPERLINK("http://dx.doi.org/10.1017/S0954102006000654","http://dx.doi.org/10.1017/S0954102006000654")</f>
        <v>http://dx.doi.org/10.1017/S0954102006000654</v>
      </c>
      <c r="BG515" t="s">
        <v>74</v>
      </c>
      <c r="BH515" t="s">
        <v>74</v>
      </c>
      <c r="BI515">
        <v>17</v>
      </c>
      <c r="BJ515" t="s">
        <v>3377</v>
      </c>
      <c r="BK515" t="s">
        <v>97</v>
      </c>
      <c r="BL515" t="s">
        <v>3378</v>
      </c>
      <c r="BM515" t="s">
        <v>8004</v>
      </c>
      <c r="BN515" t="s">
        <v>74</v>
      </c>
      <c r="BO515" t="s">
        <v>74</v>
      </c>
      <c r="BP515" t="s">
        <v>74</v>
      </c>
      <c r="BQ515" t="s">
        <v>74</v>
      </c>
      <c r="BR515" t="s">
        <v>100</v>
      </c>
      <c r="BS515" t="s">
        <v>8210</v>
      </c>
      <c r="BT515" t="str">
        <f>HYPERLINK("https%3A%2F%2Fwww.webofscience.com%2Fwos%2Fwoscc%2Ffull-record%2FWOS:000242638900016","View Full Record in Web of Science")</f>
        <v>View Full Record in Web of Science</v>
      </c>
    </row>
    <row r="516" spans="1:72" x14ac:dyDescent="0.15">
      <c r="A516" t="s">
        <v>72</v>
      </c>
      <c r="B516" t="s">
        <v>8211</v>
      </c>
      <c r="C516" t="s">
        <v>74</v>
      </c>
      <c r="D516" t="s">
        <v>74</v>
      </c>
      <c r="E516" t="s">
        <v>74</v>
      </c>
      <c r="F516" t="s">
        <v>8212</v>
      </c>
      <c r="G516" t="s">
        <v>74</v>
      </c>
      <c r="H516" t="s">
        <v>74</v>
      </c>
      <c r="I516" t="s">
        <v>8213</v>
      </c>
      <c r="J516" t="s">
        <v>7998</v>
      </c>
      <c r="K516" t="s">
        <v>74</v>
      </c>
      <c r="L516" t="s">
        <v>74</v>
      </c>
      <c r="M516" t="s">
        <v>78</v>
      </c>
      <c r="N516" t="s">
        <v>79</v>
      </c>
      <c r="O516" t="s">
        <v>74</v>
      </c>
      <c r="P516" t="s">
        <v>74</v>
      </c>
      <c r="Q516" t="s">
        <v>74</v>
      </c>
      <c r="R516" t="s">
        <v>74</v>
      </c>
      <c r="S516" t="s">
        <v>74</v>
      </c>
      <c r="T516" t="s">
        <v>8214</v>
      </c>
      <c r="U516" t="s">
        <v>8215</v>
      </c>
      <c r="V516" t="s">
        <v>8216</v>
      </c>
      <c r="W516" t="s">
        <v>8217</v>
      </c>
      <c r="X516" t="s">
        <v>8218</v>
      </c>
      <c r="Y516" t="s">
        <v>8219</v>
      </c>
      <c r="Z516" t="s">
        <v>8220</v>
      </c>
      <c r="AA516" t="s">
        <v>8221</v>
      </c>
      <c r="AB516" t="s">
        <v>8222</v>
      </c>
      <c r="AC516" t="s">
        <v>74</v>
      </c>
      <c r="AD516" t="s">
        <v>74</v>
      </c>
      <c r="AE516" t="s">
        <v>74</v>
      </c>
      <c r="AF516" t="s">
        <v>74</v>
      </c>
      <c r="AG516">
        <v>37</v>
      </c>
      <c r="AH516">
        <v>56</v>
      </c>
      <c r="AI516">
        <v>59</v>
      </c>
      <c r="AJ516">
        <v>0</v>
      </c>
      <c r="AK516">
        <v>12</v>
      </c>
      <c r="AL516" t="s">
        <v>221</v>
      </c>
      <c r="AM516" t="s">
        <v>678</v>
      </c>
      <c r="AN516" t="s">
        <v>2692</v>
      </c>
      <c r="AO516" t="s">
        <v>8000</v>
      </c>
      <c r="AP516" t="s">
        <v>8016</v>
      </c>
      <c r="AQ516" t="s">
        <v>74</v>
      </c>
      <c r="AR516" t="s">
        <v>8001</v>
      </c>
      <c r="AS516" t="s">
        <v>8002</v>
      </c>
      <c r="AT516" t="s">
        <v>7963</v>
      </c>
      <c r="AU516">
        <v>2006</v>
      </c>
      <c r="AV516">
        <v>18</v>
      </c>
      <c r="AW516">
        <v>4</v>
      </c>
      <c r="AX516" t="s">
        <v>74</v>
      </c>
      <c r="AY516" t="s">
        <v>74</v>
      </c>
      <c r="AZ516" t="s">
        <v>74</v>
      </c>
      <c r="BA516" t="s">
        <v>74</v>
      </c>
      <c r="BB516">
        <v>633</v>
      </c>
      <c r="BC516">
        <v>644</v>
      </c>
      <c r="BD516" t="s">
        <v>74</v>
      </c>
      <c r="BE516" t="s">
        <v>8223</v>
      </c>
      <c r="BF516" t="str">
        <f>HYPERLINK("http://dx.doi.org/10.1017/S0954102006000666","http://dx.doi.org/10.1017/S0954102006000666")</f>
        <v>http://dx.doi.org/10.1017/S0954102006000666</v>
      </c>
      <c r="BG516" t="s">
        <v>74</v>
      </c>
      <c r="BH516" t="s">
        <v>74</v>
      </c>
      <c r="BI516">
        <v>12</v>
      </c>
      <c r="BJ516" t="s">
        <v>3377</v>
      </c>
      <c r="BK516" t="s">
        <v>97</v>
      </c>
      <c r="BL516" t="s">
        <v>3378</v>
      </c>
      <c r="BM516" t="s">
        <v>8004</v>
      </c>
      <c r="BN516" t="s">
        <v>74</v>
      </c>
      <c r="BO516" t="s">
        <v>74</v>
      </c>
      <c r="BP516" t="s">
        <v>74</v>
      </c>
      <c r="BQ516" t="s">
        <v>74</v>
      </c>
      <c r="BR516" t="s">
        <v>100</v>
      </c>
      <c r="BS516" t="s">
        <v>8224</v>
      </c>
      <c r="BT516" t="str">
        <f>HYPERLINK("https%3A%2F%2Fwww.webofscience.com%2Fwos%2Fwoscc%2Ffull-record%2FWOS:000242638900017","View Full Record in Web of Science")</f>
        <v>View Full Record in Web of Science</v>
      </c>
    </row>
    <row r="517" spans="1:72" x14ac:dyDescent="0.15">
      <c r="A517" t="s">
        <v>72</v>
      </c>
      <c r="B517" t="s">
        <v>8225</v>
      </c>
      <c r="C517" t="s">
        <v>74</v>
      </c>
      <c r="D517" t="s">
        <v>74</v>
      </c>
      <c r="E517" t="s">
        <v>74</v>
      </c>
      <c r="F517" t="s">
        <v>8226</v>
      </c>
      <c r="G517" t="s">
        <v>74</v>
      </c>
      <c r="H517" t="s">
        <v>74</v>
      </c>
      <c r="I517" t="s">
        <v>8227</v>
      </c>
      <c r="J517" t="s">
        <v>7998</v>
      </c>
      <c r="K517" t="s">
        <v>74</v>
      </c>
      <c r="L517" t="s">
        <v>74</v>
      </c>
      <c r="M517" t="s">
        <v>78</v>
      </c>
      <c r="N517" t="s">
        <v>79</v>
      </c>
      <c r="O517" t="s">
        <v>74</v>
      </c>
      <c r="P517" t="s">
        <v>74</v>
      </c>
      <c r="Q517" t="s">
        <v>74</v>
      </c>
      <c r="R517" t="s">
        <v>74</v>
      </c>
      <c r="S517" t="s">
        <v>74</v>
      </c>
      <c r="T517" t="s">
        <v>8228</v>
      </c>
      <c r="U517" t="s">
        <v>8229</v>
      </c>
      <c r="V517" t="s">
        <v>8230</v>
      </c>
      <c r="W517" t="s">
        <v>8231</v>
      </c>
      <c r="X517" t="s">
        <v>8232</v>
      </c>
      <c r="Y517" t="s">
        <v>8233</v>
      </c>
      <c r="Z517" t="s">
        <v>8234</v>
      </c>
      <c r="AA517" t="s">
        <v>8235</v>
      </c>
      <c r="AB517" t="s">
        <v>8236</v>
      </c>
      <c r="AC517" t="s">
        <v>74</v>
      </c>
      <c r="AD517" t="s">
        <v>74</v>
      </c>
      <c r="AE517" t="s">
        <v>74</v>
      </c>
      <c r="AF517" t="s">
        <v>74</v>
      </c>
      <c r="AG517">
        <v>78</v>
      </c>
      <c r="AH517">
        <v>14</v>
      </c>
      <c r="AI517">
        <v>14</v>
      </c>
      <c r="AJ517">
        <v>0</v>
      </c>
      <c r="AK517">
        <v>4</v>
      </c>
      <c r="AL517" t="s">
        <v>221</v>
      </c>
      <c r="AM517" t="s">
        <v>678</v>
      </c>
      <c r="AN517" t="s">
        <v>2692</v>
      </c>
      <c r="AO517" t="s">
        <v>8000</v>
      </c>
      <c r="AP517" t="s">
        <v>8016</v>
      </c>
      <c r="AQ517" t="s">
        <v>74</v>
      </c>
      <c r="AR517" t="s">
        <v>8001</v>
      </c>
      <c r="AS517" t="s">
        <v>8002</v>
      </c>
      <c r="AT517" t="s">
        <v>7963</v>
      </c>
      <c r="AU517">
        <v>2006</v>
      </c>
      <c r="AV517">
        <v>18</v>
      </c>
      <c r="AW517">
        <v>4</v>
      </c>
      <c r="AX517" t="s">
        <v>74</v>
      </c>
      <c r="AY517" t="s">
        <v>74</v>
      </c>
      <c r="AZ517" t="s">
        <v>74</v>
      </c>
      <c r="BA517" t="s">
        <v>74</v>
      </c>
      <c r="BB517">
        <v>645</v>
      </c>
      <c r="BC517">
        <v>653</v>
      </c>
      <c r="BD517" t="s">
        <v>74</v>
      </c>
      <c r="BE517" t="s">
        <v>8237</v>
      </c>
      <c r="BF517" t="str">
        <f>HYPERLINK("http://dx.doi.org/10.1017/S0954102006000678","http://dx.doi.org/10.1017/S0954102006000678")</f>
        <v>http://dx.doi.org/10.1017/S0954102006000678</v>
      </c>
      <c r="BG517" t="s">
        <v>74</v>
      </c>
      <c r="BH517" t="s">
        <v>74</v>
      </c>
      <c r="BI517">
        <v>9</v>
      </c>
      <c r="BJ517" t="s">
        <v>3377</v>
      </c>
      <c r="BK517" t="s">
        <v>97</v>
      </c>
      <c r="BL517" t="s">
        <v>3378</v>
      </c>
      <c r="BM517" t="s">
        <v>8004</v>
      </c>
      <c r="BN517" t="s">
        <v>74</v>
      </c>
      <c r="BO517" t="s">
        <v>74</v>
      </c>
      <c r="BP517" t="s">
        <v>74</v>
      </c>
      <c r="BQ517" t="s">
        <v>74</v>
      </c>
      <c r="BR517" t="s">
        <v>100</v>
      </c>
      <c r="BS517" t="s">
        <v>8238</v>
      </c>
      <c r="BT517" t="str">
        <f>HYPERLINK("https%3A%2F%2Fwww.webofscience.com%2Fwos%2Fwoscc%2Ffull-record%2FWOS:000242638900018","View Full Record in Web of Science")</f>
        <v>View Full Record in Web of Science</v>
      </c>
    </row>
    <row r="518" spans="1:72" x14ac:dyDescent="0.15">
      <c r="A518" t="s">
        <v>72</v>
      </c>
      <c r="B518" t="s">
        <v>8239</v>
      </c>
      <c r="C518" t="s">
        <v>74</v>
      </c>
      <c r="D518" t="s">
        <v>74</v>
      </c>
      <c r="E518" t="s">
        <v>74</v>
      </c>
      <c r="F518" t="s">
        <v>8240</v>
      </c>
      <c r="G518" t="s">
        <v>74</v>
      </c>
      <c r="H518" t="s">
        <v>74</v>
      </c>
      <c r="I518" t="s">
        <v>8241</v>
      </c>
      <c r="J518" t="s">
        <v>7998</v>
      </c>
      <c r="K518" t="s">
        <v>74</v>
      </c>
      <c r="L518" t="s">
        <v>74</v>
      </c>
      <c r="M518" t="s">
        <v>78</v>
      </c>
      <c r="N518" t="s">
        <v>79</v>
      </c>
      <c r="O518" t="s">
        <v>74</v>
      </c>
      <c r="P518" t="s">
        <v>74</v>
      </c>
      <c r="Q518" t="s">
        <v>74</v>
      </c>
      <c r="R518" t="s">
        <v>74</v>
      </c>
      <c r="S518" t="s">
        <v>74</v>
      </c>
      <c r="T518" t="s">
        <v>8242</v>
      </c>
      <c r="U518" t="s">
        <v>8243</v>
      </c>
      <c r="V518" t="s">
        <v>8244</v>
      </c>
      <c r="W518" t="s">
        <v>8245</v>
      </c>
      <c r="X518" t="s">
        <v>8204</v>
      </c>
      <c r="Y518" t="s">
        <v>8246</v>
      </c>
      <c r="Z518" t="s">
        <v>8247</v>
      </c>
      <c r="AA518" t="s">
        <v>8248</v>
      </c>
      <c r="AB518" t="s">
        <v>8249</v>
      </c>
      <c r="AC518" t="s">
        <v>74</v>
      </c>
      <c r="AD518" t="s">
        <v>74</v>
      </c>
      <c r="AE518" t="s">
        <v>74</v>
      </c>
      <c r="AF518" t="s">
        <v>74</v>
      </c>
      <c r="AG518">
        <v>43</v>
      </c>
      <c r="AH518">
        <v>16</v>
      </c>
      <c r="AI518">
        <v>16</v>
      </c>
      <c r="AJ518">
        <v>2</v>
      </c>
      <c r="AK518">
        <v>12</v>
      </c>
      <c r="AL518" t="s">
        <v>221</v>
      </c>
      <c r="AM518" t="s">
        <v>678</v>
      </c>
      <c r="AN518" t="s">
        <v>2692</v>
      </c>
      <c r="AO518" t="s">
        <v>8000</v>
      </c>
      <c r="AP518" t="s">
        <v>8016</v>
      </c>
      <c r="AQ518" t="s">
        <v>74</v>
      </c>
      <c r="AR518" t="s">
        <v>8001</v>
      </c>
      <c r="AS518" t="s">
        <v>8002</v>
      </c>
      <c r="AT518" t="s">
        <v>7963</v>
      </c>
      <c r="AU518">
        <v>2006</v>
      </c>
      <c r="AV518">
        <v>18</v>
      </c>
      <c r="AW518">
        <v>4</v>
      </c>
      <c r="AX518" t="s">
        <v>74</v>
      </c>
      <c r="AY518" t="s">
        <v>74</v>
      </c>
      <c r="AZ518" t="s">
        <v>74</v>
      </c>
      <c r="BA518" t="s">
        <v>74</v>
      </c>
      <c r="BB518">
        <v>655</v>
      </c>
      <c r="BC518">
        <v>662</v>
      </c>
      <c r="BD518" t="s">
        <v>74</v>
      </c>
      <c r="BE518" t="s">
        <v>8250</v>
      </c>
      <c r="BF518" t="str">
        <f>HYPERLINK("http://dx.doi.org/10.1017/S095410200600068X","http://dx.doi.org/10.1017/S095410200600068X")</f>
        <v>http://dx.doi.org/10.1017/S095410200600068X</v>
      </c>
      <c r="BG518" t="s">
        <v>74</v>
      </c>
      <c r="BH518" t="s">
        <v>74</v>
      </c>
      <c r="BI518">
        <v>8</v>
      </c>
      <c r="BJ518" t="s">
        <v>3377</v>
      </c>
      <c r="BK518" t="s">
        <v>97</v>
      </c>
      <c r="BL518" t="s">
        <v>3378</v>
      </c>
      <c r="BM518" t="s">
        <v>8004</v>
      </c>
      <c r="BN518" t="s">
        <v>74</v>
      </c>
      <c r="BO518" t="s">
        <v>74</v>
      </c>
      <c r="BP518" t="s">
        <v>74</v>
      </c>
      <c r="BQ518" t="s">
        <v>74</v>
      </c>
      <c r="BR518" t="s">
        <v>100</v>
      </c>
      <c r="BS518" t="s">
        <v>8251</v>
      </c>
      <c r="BT518" t="str">
        <f>HYPERLINK("https%3A%2F%2Fwww.webofscience.com%2Fwos%2Fwoscc%2Ffull-record%2FWOS:000242638900019","View Full Record in Web of Science")</f>
        <v>View Full Record in Web of Science</v>
      </c>
    </row>
    <row r="519" spans="1:72" x14ac:dyDescent="0.15">
      <c r="A519" t="s">
        <v>72</v>
      </c>
      <c r="B519" t="s">
        <v>8252</v>
      </c>
      <c r="C519" t="s">
        <v>74</v>
      </c>
      <c r="D519" t="s">
        <v>74</v>
      </c>
      <c r="E519" t="s">
        <v>74</v>
      </c>
      <c r="F519" t="s">
        <v>8253</v>
      </c>
      <c r="G519" t="s">
        <v>74</v>
      </c>
      <c r="H519" t="s">
        <v>74</v>
      </c>
      <c r="I519" t="s">
        <v>8254</v>
      </c>
      <c r="J519" t="s">
        <v>8255</v>
      </c>
      <c r="K519" t="s">
        <v>74</v>
      </c>
      <c r="L519" t="s">
        <v>74</v>
      </c>
      <c r="M519" t="s">
        <v>78</v>
      </c>
      <c r="N519" t="s">
        <v>79</v>
      </c>
      <c r="O519" t="s">
        <v>74</v>
      </c>
      <c r="P519" t="s">
        <v>74</v>
      </c>
      <c r="Q519" t="s">
        <v>74</v>
      </c>
      <c r="R519" t="s">
        <v>74</v>
      </c>
      <c r="S519" t="s">
        <v>74</v>
      </c>
      <c r="T519" t="s">
        <v>8256</v>
      </c>
      <c r="U519" t="s">
        <v>8257</v>
      </c>
      <c r="V519" t="s">
        <v>8258</v>
      </c>
      <c r="W519" t="s">
        <v>8259</v>
      </c>
      <c r="X519" t="s">
        <v>8260</v>
      </c>
      <c r="Y519" t="s">
        <v>8261</v>
      </c>
      <c r="Z519" t="s">
        <v>8262</v>
      </c>
      <c r="AA519" t="s">
        <v>8263</v>
      </c>
      <c r="AB519" t="s">
        <v>8264</v>
      </c>
      <c r="AC519" t="s">
        <v>74</v>
      </c>
      <c r="AD519" t="s">
        <v>74</v>
      </c>
      <c r="AE519" t="s">
        <v>74</v>
      </c>
      <c r="AF519" t="s">
        <v>74</v>
      </c>
      <c r="AG519">
        <v>26</v>
      </c>
      <c r="AH519">
        <v>16</v>
      </c>
      <c r="AI519">
        <v>22</v>
      </c>
      <c r="AJ519">
        <v>2</v>
      </c>
      <c r="AK519">
        <v>15</v>
      </c>
      <c r="AL519" t="s">
        <v>2397</v>
      </c>
      <c r="AM519" t="s">
        <v>2398</v>
      </c>
      <c r="AN519" t="s">
        <v>2399</v>
      </c>
      <c r="AO519" t="s">
        <v>8265</v>
      </c>
      <c r="AP519" t="s">
        <v>74</v>
      </c>
      <c r="AQ519" t="s">
        <v>74</v>
      </c>
      <c r="AR519" t="s">
        <v>8266</v>
      </c>
      <c r="AS519" t="s">
        <v>8267</v>
      </c>
      <c r="AT519" t="s">
        <v>8268</v>
      </c>
      <c r="AU519">
        <v>2006</v>
      </c>
      <c r="AV519">
        <v>37</v>
      </c>
      <c r="AW519">
        <v>16</v>
      </c>
      <c r="AX519" t="s">
        <v>74</v>
      </c>
      <c r="AY519" t="s">
        <v>74</v>
      </c>
      <c r="AZ519" t="s">
        <v>74</v>
      </c>
      <c r="BA519" t="s">
        <v>74</v>
      </c>
      <c r="BB519">
        <v>1676</v>
      </c>
      <c r="BC519">
        <v>1684</v>
      </c>
      <c r="BD519" t="s">
        <v>74</v>
      </c>
      <c r="BE519" t="s">
        <v>8269</v>
      </c>
      <c r="BF519" t="str">
        <f>HYPERLINK("http://dx.doi.org/10.1111/j.1365-2109.2006.01615.x","http://dx.doi.org/10.1111/j.1365-2109.2006.01615.x")</f>
        <v>http://dx.doi.org/10.1111/j.1365-2109.2006.01615.x</v>
      </c>
      <c r="BG519" t="s">
        <v>74</v>
      </c>
      <c r="BH519" t="s">
        <v>74</v>
      </c>
      <c r="BI519">
        <v>9</v>
      </c>
      <c r="BJ519" t="s">
        <v>753</v>
      </c>
      <c r="BK519" t="s">
        <v>97</v>
      </c>
      <c r="BL519" t="s">
        <v>753</v>
      </c>
      <c r="BM519" t="s">
        <v>8270</v>
      </c>
      <c r="BN519" t="s">
        <v>74</v>
      </c>
      <c r="BO519" t="s">
        <v>269</v>
      </c>
      <c r="BP519" t="s">
        <v>74</v>
      </c>
      <c r="BQ519" t="s">
        <v>74</v>
      </c>
      <c r="BR519" t="s">
        <v>100</v>
      </c>
      <c r="BS519" t="s">
        <v>8271</v>
      </c>
      <c r="BT519" t="str">
        <f>HYPERLINK("https%3A%2F%2Fwww.webofscience.com%2Fwos%2Fwoscc%2Ffull-record%2FWOS:000242197500009","View Full Record in Web of Science")</f>
        <v>View Full Record in Web of Science</v>
      </c>
    </row>
    <row r="520" spans="1:72" x14ac:dyDescent="0.15">
      <c r="A520" t="s">
        <v>72</v>
      </c>
      <c r="B520" t="s">
        <v>8272</v>
      </c>
      <c r="C520" t="s">
        <v>74</v>
      </c>
      <c r="D520" t="s">
        <v>74</v>
      </c>
      <c r="E520" t="s">
        <v>74</v>
      </c>
      <c r="F520" t="s">
        <v>8273</v>
      </c>
      <c r="G520" t="s">
        <v>74</v>
      </c>
      <c r="H520" t="s">
        <v>74</v>
      </c>
      <c r="I520" t="s">
        <v>8274</v>
      </c>
      <c r="J520" t="s">
        <v>8275</v>
      </c>
      <c r="K520" t="s">
        <v>74</v>
      </c>
      <c r="L520" t="s">
        <v>74</v>
      </c>
      <c r="M520" t="s">
        <v>78</v>
      </c>
      <c r="N520" t="s">
        <v>79</v>
      </c>
      <c r="O520" t="s">
        <v>74</v>
      </c>
      <c r="P520" t="s">
        <v>74</v>
      </c>
      <c r="Q520" t="s">
        <v>74</v>
      </c>
      <c r="R520" t="s">
        <v>74</v>
      </c>
      <c r="S520" t="s">
        <v>74</v>
      </c>
      <c r="T520" t="s">
        <v>8276</v>
      </c>
      <c r="U520" t="s">
        <v>8277</v>
      </c>
      <c r="V520" t="s">
        <v>8278</v>
      </c>
      <c r="W520" t="s">
        <v>8279</v>
      </c>
      <c r="X520" t="s">
        <v>8280</v>
      </c>
      <c r="Y520" t="s">
        <v>8281</v>
      </c>
      <c r="Z520" t="s">
        <v>74</v>
      </c>
      <c r="AA520" t="s">
        <v>8282</v>
      </c>
      <c r="AB520" t="s">
        <v>8283</v>
      </c>
      <c r="AC520" t="s">
        <v>74</v>
      </c>
      <c r="AD520" t="s">
        <v>74</v>
      </c>
      <c r="AE520" t="s">
        <v>74</v>
      </c>
      <c r="AF520" t="s">
        <v>74</v>
      </c>
      <c r="AG520">
        <v>28</v>
      </c>
      <c r="AH520">
        <v>102</v>
      </c>
      <c r="AI520">
        <v>118</v>
      </c>
      <c r="AJ520">
        <v>0</v>
      </c>
      <c r="AK520">
        <v>4</v>
      </c>
      <c r="AL520" t="s">
        <v>7983</v>
      </c>
      <c r="AM520" t="s">
        <v>7984</v>
      </c>
      <c r="AN520" t="s">
        <v>7985</v>
      </c>
      <c r="AO520" t="s">
        <v>8284</v>
      </c>
      <c r="AP520" t="s">
        <v>74</v>
      </c>
      <c r="AQ520" t="s">
        <v>74</v>
      </c>
      <c r="AR520" t="s">
        <v>8285</v>
      </c>
      <c r="AS520" t="s">
        <v>8286</v>
      </c>
      <c r="AT520" t="s">
        <v>8268</v>
      </c>
      <c r="AU520">
        <v>2006</v>
      </c>
      <c r="AV520">
        <v>652</v>
      </c>
      <c r="AW520">
        <v>2</v>
      </c>
      <c r="AX520">
        <v>2</v>
      </c>
      <c r="AY520" t="s">
        <v>74</v>
      </c>
      <c r="AZ520" t="s">
        <v>74</v>
      </c>
      <c r="BA520" t="s">
        <v>74</v>
      </c>
      <c r="BB520" t="s">
        <v>8287</v>
      </c>
      <c r="BC520" t="s">
        <v>8288</v>
      </c>
      <c r="BD520" t="s">
        <v>74</v>
      </c>
      <c r="BE520" t="s">
        <v>8289</v>
      </c>
      <c r="BF520" t="str">
        <f>HYPERLINK("http://dx.doi.org/10.1086/510289","http://dx.doi.org/10.1086/510289")</f>
        <v>http://dx.doi.org/10.1086/510289</v>
      </c>
      <c r="BG520" t="s">
        <v>74</v>
      </c>
      <c r="BH520" t="s">
        <v>74</v>
      </c>
      <c r="BI520">
        <v>4</v>
      </c>
      <c r="BJ520" t="s">
        <v>801</v>
      </c>
      <c r="BK520" t="s">
        <v>97</v>
      </c>
      <c r="BL520" t="s">
        <v>801</v>
      </c>
      <c r="BM520" t="s">
        <v>8290</v>
      </c>
      <c r="BN520" t="s">
        <v>74</v>
      </c>
      <c r="BO520" t="s">
        <v>3708</v>
      </c>
      <c r="BP520" t="s">
        <v>74</v>
      </c>
      <c r="BQ520" t="s">
        <v>74</v>
      </c>
      <c r="BR520" t="s">
        <v>100</v>
      </c>
      <c r="BS520" t="s">
        <v>8291</v>
      </c>
      <c r="BT520" t="str">
        <f>HYPERLINK("https%3A%2F%2Fwww.webofscience.com%2Fwos%2Fwoscc%2Ffull-record%2FWOS:000242530700014","View Full Record in Web of Science")</f>
        <v>View Full Record in Web of Science</v>
      </c>
    </row>
    <row r="521" spans="1:72" x14ac:dyDescent="0.15">
      <c r="A521" t="s">
        <v>72</v>
      </c>
      <c r="B521" t="s">
        <v>8292</v>
      </c>
      <c r="C521" t="s">
        <v>74</v>
      </c>
      <c r="D521" t="s">
        <v>74</v>
      </c>
      <c r="E521" t="s">
        <v>74</v>
      </c>
      <c r="F521" t="s">
        <v>8293</v>
      </c>
      <c r="G521" t="s">
        <v>74</v>
      </c>
      <c r="H521" t="s">
        <v>74</v>
      </c>
      <c r="I521" t="s">
        <v>8294</v>
      </c>
      <c r="J521" t="s">
        <v>8295</v>
      </c>
      <c r="K521" t="s">
        <v>74</v>
      </c>
      <c r="L521" t="s">
        <v>74</v>
      </c>
      <c r="M521" t="s">
        <v>8296</v>
      </c>
      <c r="N521" t="s">
        <v>79</v>
      </c>
      <c r="O521" t="s">
        <v>74</v>
      </c>
      <c r="P521" t="s">
        <v>74</v>
      </c>
      <c r="Q521" t="s">
        <v>74</v>
      </c>
      <c r="R521" t="s">
        <v>74</v>
      </c>
      <c r="S521" t="s">
        <v>74</v>
      </c>
      <c r="T521" t="s">
        <v>8297</v>
      </c>
      <c r="U521" t="s">
        <v>74</v>
      </c>
      <c r="V521" t="s">
        <v>8298</v>
      </c>
      <c r="W521" t="s">
        <v>8299</v>
      </c>
      <c r="X521" t="s">
        <v>8300</v>
      </c>
      <c r="Y521" t="s">
        <v>8301</v>
      </c>
      <c r="Z521" t="s">
        <v>8302</v>
      </c>
      <c r="AA521" t="s">
        <v>8303</v>
      </c>
      <c r="AB521" t="s">
        <v>8304</v>
      </c>
      <c r="AC521" t="s">
        <v>74</v>
      </c>
      <c r="AD521" t="s">
        <v>74</v>
      </c>
      <c r="AE521" t="s">
        <v>74</v>
      </c>
      <c r="AF521" t="s">
        <v>74</v>
      </c>
      <c r="AG521">
        <v>19</v>
      </c>
      <c r="AH521">
        <v>1</v>
      </c>
      <c r="AI521">
        <v>1</v>
      </c>
      <c r="AJ521">
        <v>0</v>
      </c>
      <c r="AK521">
        <v>0</v>
      </c>
      <c r="AL521" t="s">
        <v>8305</v>
      </c>
      <c r="AM521" t="s">
        <v>8306</v>
      </c>
      <c r="AN521" t="s">
        <v>8307</v>
      </c>
      <c r="AO521" t="s">
        <v>8308</v>
      </c>
      <c r="AP521" t="s">
        <v>8309</v>
      </c>
      <c r="AQ521" t="s">
        <v>74</v>
      </c>
      <c r="AR521" t="s">
        <v>8310</v>
      </c>
      <c r="AS521" t="s">
        <v>8311</v>
      </c>
      <c r="AT521" t="s">
        <v>7963</v>
      </c>
      <c r="AU521">
        <v>2006</v>
      </c>
      <c r="AV521">
        <v>16</v>
      </c>
      <c r="AW521">
        <v>4</v>
      </c>
      <c r="AX521" t="s">
        <v>74</v>
      </c>
      <c r="AY521" t="s">
        <v>74</v>
      </c>
      <c r="AZ521" t="s">
        <v>74</v>
      </c>
      <c r="BA521" t="s">
        <v>74</v>
      </c>
      <c r="BB521">
        <v>333</v>
      </c>
      <c r="BC521">
        <v>342</v>
      </c>
      <c r="BD521" t="s">
        <v>74</v>
      </c>
      <c r="BE521" t="s">
        <v>74</v>
      </c>
      <c r="BF521" t="s">
        <v>74</v>
      </c>
      <c r="BG521" t="s">
        <v>74</v>
      </c>
      <c r="BH521" t="s">
        <v>74</v>
      </c>
      <c r="BI521">
        <v>10</v>
      </c>
      <c r="BJ521" t="s">
        <v>3208</v>
      </c>
      <c r="BK521" t="s">
        <v>643</v>
      </c>
      <c r="BL521" t="s">
        <v>3208</v>
      </c>
      <c r="BM521" t="s">
        <v>8312</v>
      </c>
      <c r="BN521" t="s">
        <v>74</v>
      </c>
      <c r="BO521" t="s">
        <v>74</v>
      </c>
      <c r="BP521" t="s">
        <v>74</v>
      </c>
      <c r="BQ521" t="s">
        <v>74</v>
      </c>
      <c r="BR521" t="s">
        <v>100</v>
      </c>
      <c r="BS521" t="s">
        <v>8313</v>
      </c>
      <c r="BT521" t="str">
        <f>HYPERLINK("https%3A%2F%2Fwww.webofscience.com%2Fwos%2Fwoscc%2Ffull-record%2FWOS:000422524100006","View Full Record in Web of Science")</f>
        <v>View Full Record in Web of Science</v>
      </c>
    </row>
    <row r="522" spans="1:72" x14ac:dyDescent="0.15">
      <c r="A522" t="s">
        <v>72</v>
      </c>
      <c r="B522" t="s">
        <v>8314</v>
      </c>
      <c r="C522" t="s">
        <v>74</v>
      </c>
      <c r="D522" t="s">
        <v>74</v>
      </c>
      <c r="E522" t="s">
        <v>74</v>
      </c>
      <c r="F522" t="s">
        <v>8315</v>
      </c>
      <c r="G522" t="s">
        <v>74</v>
      </c>
      <c r="H522" t="s">
        <v>74</v>
      </c>
      <c r="I522" t="s">
        <v>8316</v>
      </c>
      <c r="J522" t="s">
        <v>8317</v>
      </c>
      <c r="K522" t="s">
        <v>74</v>
      </c>
      <c r="L522" t="s">
        <v>74</v>
      </c>
      <c r="M522" t="s">
        <v>78</v>
      </c>
      <c r="N522" t="s">
        <v>176</v>
      </c>
      <c r="O522" t="s">
        <v>8318</v>
      </c>
      <c r="P522" t="s">
        <v>8319</v>
      </c>
      <c r="Q522" t="s">
        <v>8320</v>
      </c>
      <c r="R522" t="s">
        <v>74</v>
      </c>
      <c r="S522" t="s">
        <v>8321</v>
      </c>
      <c r="T522" t="s">
        <v>8322</v>
      </c>
      <c r="U522" t="s">
        <v>8323</v>
      </c>
      <c r="V522" t="s">
        <v>8324</v>
      </c>
      <c r="W522" t="s">
        <v>8325</v>
      </c>
      <c r="X522" t="s">
        <v>8326</v>
      </c>
      <c r="Y522" t="s">
        <v>8327</v>
      </c>
      <c r="Z522" t="s">
        <v>8328</v>
      </c>
      <c r="AA522" t="s">
        <v>8329</v>
      </c>
      <c r="AB522" t="s">
        <v>8330</v>
      </c>
      <c r="AC522" t="s">
        <v>74</v>
      </c>
      <c r="AD522" t="s">
        <v>74</v>
      </c>
      <c r="AE522" t="s">
        <v>74</v>
      </c>
      <c r="AF522" t="s">
        <v>74</v>
      </c>
      <c r="AG522">
        <v>24</v>
      </c>
      <c r="AH522">
        <v>4</v>
      </c>
      <c r="AI522">
        <v>4</v>
      </c>
      <c r="AJ522">
        <v>0</v>
      </c>
      <c r="AK522">
        <v>3</v>
      </c>
      <c r="AL522" t="s">
        <v>838</v>
      </c>
      <c r="AM522" t="s">
        <v>678</v>
      </c>
      <c r="AN522" t="s">
        <v>8331</v>
      </c>
      <c r="AO522" t="s">
        <v>8332</v>
      </c>
      <c r="AP522" t="s">
        <v>8333</v>
      </c>
      <c r="AQ522" t="s">
        <v>74</v>
      </c>
      <c r="AR522" t="s">
        <v>8334</v>
      </c>
      <c r="AS522" t="s">
        <v>8335</v>
      </c>
      <c r="AT522" t="s">
        <v>7963</v>
      </c>
      <c r="AU522">
        <v>2006</v>
      </c>
      <c r="AV522">
        <v>82</v>
      </c>
      <c r="AW522" t="s">
        <v>1283</v>
      </c>
      <c r="AX522" t="s">
        <v>74</v>
      </c>
      <c r="AY522" t="s">
        <v>74</v>
      </c>
      <c r="AZ522" t="s">
        <v>3394</v>
      </c>
      <c r="BA522" t="s">
        <v>74</v>
      </c>
      <c r="BB522">
        <v>547</v>
      </c>
      <c r="BC522">
        <v>553</v>
      </c>
      <c r="BD522" t="s">
        <v>74</v>
      </c>
      <c r="BE522" t="s">
        <v>8336</v>
      </c>
      <c r="BF522" t="str">
        <f>HYPERLINK("http://dx.doi.org/10.1016/j.atmosres.2006.02.011","http://dx.doi.org/10.1016/j.atmosres.2006.02.011")</f>
        <v>http://dx.doi.org/10.1016/j.atmosres.2006.02.011</v>
      </c>
      <c r="BG522" t="s">
        <v>74</v>
      </c>
      <c r="BH522" t="s">
        <v>74</v>
      </c>
      <c r="BI522">
        <v>7</v>
      </c>
      <c r="BJ522" t="s">
        <v>3208</v>
      </c>
      <c r="BK522" t="s">
        <v>197</v>
      </c>
      <c r="BL522" t="s">
        <v>3208</v>
      </c>
      <c r="BM522" t="s">
        <v>8337</v>
      </c>
      <c r="BN522" t="s">
        <v>74</v>
      </c>
      <c r="BO522" t="s">
        <v>74</v>
      </c>
      <c r="BP522" t="s">
        <v>74</v>
      </c>
      <c r="BQ522" t="s">
        <v>74</v>
      </c>
      <c r="BR522" t="s">
        <v>100</v>
      </c>
      <c r="BS522" t="s">
        <v>8338</v>
      </c>
      <c r="BT522" t="str">
        <f>HYPERLINK("https%3A%2F%2Fwww.webofscience.com%2Fwos%2Fwoscc%2Ffull-record%2FWOS:000242926500009","View Full Record in Web of Science")</f>
        <v>View Full Record in Web of Science</v>
      </c>
    </row>
    <row r="523" spans="1:72" x14ac:dyDescent="0.15">
      <c r="A523" t="s">
        <v>72</v>
      </c>
      <c r="B523" t="s">
        <v>8339</v>
      </c>
      <c r="C523" t="s">
        <v>74</v>
      </c>
      <c r="D523" t="s">
        <v>74</v>
      </c>
      <c r="E523" t="s">
        <v>74</v>
      </c>
      <c r="F523" t="s">
        <v>8340</v>
      </c>
      <c r="G523" t="s">
        <v>74</v>
      </c>
      <c r="H523" t="s">
        <v>74</v>
      </c>
      <c r="I523" t="s">
        <v>8341</v>
      </c>
      <c r="J523" t="s">
        <v>8342</v>
      </c>
      <c r="K523" t="s">
        <v>74</v>
      </c>
      <c r="L523" t="s">
        <v>74</v>
      </c>
      <c r="M523" t="s">
        <v>78</v>
      </c>
      <c r="N523" t="s">
        <v>79</v>
      </c>
      <c r="O523" t="s">
        <v>74</v>
      </c>
      <c r="P523" t="s">
        <v>74</v>
      </c>
      <c r="Q523" t="s">
        <v>74</v>
      </c>
      <c r="R523" t="s">
        <v>74</v>
      </c>
      <c r="S523" t="s">
        <v>74</v>
      </c>
      <c r="T523" t="s">
        <v>74</v>
      </c>
      <c r="U523" t="s">
        <v>8343</v>
      </c>
      <c r="V523" t="s">
        <v>8344</v>
      </c>
      <c r="W523" t="s">
        <v>8345</v>
      </c>
      <c r="X523" t="s">
        <v>8346</v>
      </c>
      <c r="Y523" t="s">
        <v>8347</v>
      </c>
      <c r="Z523" t="s">
        <v>8348</v>
      </c>
      <c r="AA523" t="s">
        <v>8349</v>
      </c>
      <c r="AB523" t="s">
        <v>8350</v>
      </c>
      <c r="AC523" t="s">
        <v>74</v>
      </c>
      <c r="AD523" t="s">
        <v>74</v>
      </c>
      <c r="AE523" t="s">
        <v>74</v>
      </c>
      <c r="AF523" t="s">
        <v>74</v>
      </c>
      <c r="AG523">
        <v>20</v>
      </c>
      <c r="AH523">
        <v>86</v>
      </c>
      <c r="AI523">
        <v>92</v>
      </c>
      <c r="AJ523">
        <v>0</v>
      </c>
      <c r="AK523">
        <v>21</v>
      </c>
      <c r="AL523" t="s">
        <v>8351</v>
      </c>
      <c r="AM523" t="s">
        <v>8352</v>
      </c>
      <c r="AN523" t="s">
        <v>8353</v>
      </c>
      <c r="AO523" t="s">
        <v>8354</v>
      </c>
      <c r="AP523" t="s">
        <v>74</v>
      </c>
      <c r="AQ523" t="s">
        <v>74</v>
      </c>
      <c r="AR523" t="s">
        <v>8355</v>
      </c>
      <c r="AS523" t="s">
        <v>8356</v>
      </c>
      <c r="AT523" t="s">
        <v>7963</v>
      </c>
      <c r="AU523">
        <v>2006</v>
      </c>
      <c r="AV523">
        <v>55</v>
      </c>
      <c r="AW523">
        <v>4</v>
      </c>
      <c r="AX523" t="s">
        <v>74</v>
      </c>
      <c r="AY523" t="s">
        <v>74</v>
      </c>
      <c r="AZ523" t="s">
        <v>74</v>
      </c>
      <c r="BA523" t="s">
        <v>74</v>
      </c>
      <c r="BB523">
        <v>253</v>
      </c>
      <c r="BC523">
        <v>260</v>
      </c>
      <c r="BD523" t="s">
        <v>74</v>
      </c>
      <c r="BE523" t="s">
        <v>74</v>
      </c>
      <c r="BF523" t="s">
        <v>74</v>
      </c>
      <c r="BG523" t="s">
        <v>74</v>
      </c>
      <c r="BH523" t="s">
        <v>74</v>
      </c>
      <c r="BI523">
        <v>8</v>
      </c>
      <c r="BJ523" t="s">
        <v>3208</v>
      </c>
      <c r="BK523" t="s">
        <v>97</v>
      </c>
      <c r="BL523" t="s">
        <v>3208</v>
      </c>
      <c r="BM523" t="s">
        <v>8357</v>
      </c>
      <c r="BN523" t="s">
        <v>74</v>
      </c>
      <c r="BO523" t="s">
        <v>74</v>
      </c>
      <c r="BP523" t="s">
        <v>74</v>
      </c>
      <c r="BQ523" t="s">
        <v>74</v>
      </c>
      <c r="BR523" t="s">
        <v>100</v>
      </c>
      <c r="BS523" t="s">
        <v>8358</v>
      </c>
      <c r="BT523" t="str">
        <f>HYPERLINK("https%3A%2F%2Fwww.webofscience.com%2Fwos%2Fwoscc%2Ffull-record%2FWOS:000246136100001","View Full Record in Web of Science")</f>
        <v>View Full Record in Web of Science</v>
      </c>
    </row>
    <row r="524" spans="1:72" x14ac:dyDescent="0.15">
      <c r="A524" t="s">
        <v>72</v>
      </c>
      <c r="B524" t="s">
        <v>8359</v>
      </c>
      <c r="C524" t="s">
        <v>74</v>
      </c>
      <c r="D524" t="s">
        <v>74</v>
      </c>
      <c r="E524" t="s">
        <v>74</v>
      </c>
      <c r="F524" t="s">
        <v>8360</v>
      </c>
      <c r="G524" t="s">
        <v>74</v>
      </c>
      <c r="H524" t="s">
        <v>74</v>
      </c>
      <c r="I524" t="s">
        <v>8361</v>
      </c>
      <c r="J524" t="s">
        <v>8362</v>
      </c>
      <c r="K524" t="s">
        <v>74</v>
      </c>
      <c r="L524" t="s">
        <v>74</v>
      </c>
      <c r="M524" t="s">
        <v>78</v>
      </c>
      <c r="N524" t="s">
        <v>79</v>
      </c>
      <c r="O524" t="s">
        <v>74</v>
      </c>
      <c r="P524" t="s">
        <v>74</v>
      </c>
      <c r="Q524" t="s">
        <v>74</v>
      </c>
      <c r="R524" t="s">
        <v>74</v>
      </c>
      <c r="S524" t="s">
        <v>74</v>
      </c>
      <c r="T524" t="s">
        <v>74</v>
      </c>
      <c r="U524" t="s">
        <v>8363</v>
      </c>
      <c r="V524" t="s">
        <v>8364</v>
      </c>
      <c r="W524" t="s">
        <v>8365</v>
      </c>
      <c r="X524" t="s">
        <v>8366</v>
      </c>
      <c r="Y524" t="s">
        <v>8367</v>
      </c>
      <c r="Z524" t="s">
        <v>8368</v>
      </c>
      <c r="AA524" t="s">
        <v>74</v>
      </c>
      <c r="AB524" t="s">
        <v>74</v>
      </c>
      <c r="AC524" t="s">
        <v>74</v>
      </c>
      <c r="AD524" t="s">
        <v>74</v>
      </c>
      <c r="AE524" t="s">
        <v>74</v>
      </c>
      <c r="AF524" t="s">
        <v>74</v>
      </c>
      <c r="AG524">
        <v>52</v>
      </c>
      <c r="AH524">
        <v>27</v>
      </c>
      <c r="AI524">
        <v>28</v>
      </c>
      <c r="AJ524">
        <v>0</v>
      </c>
      <c r="AK524">
        <v>2</v>
      </c>
      <c r="AL524" t="s">
        <v>4064</v>
      </c>
      <c r="AM524" t="s">
        <v>4065</v>
      </c>
      <c r="AN524" t="s">
        <v>4097</v>
      </c>
      <c r="AO524" t="s">
        <v>8369</v>
      </c>
      <c r="AP524" t="s">
        <v>8370</v>
      </c>
      <c r="AQ524" t="s">
        <v>74</v>
      </c>
      <c r="AR524" t="s">
        <v>8371</v>
      </c>
      <c r="AS524" t="s">
        <v>8372</v>
      </c>
      <c r="AT524" t="s">
        <v>7963</v>
      </c>
      <c r="AU524">
        <v>2006</v>
      </c>
      <c r="AV524">
        <v>87</v>
      </c>
      <c r="AW524">
        <v>12</v>
      </c>
      <c r="AX524" t="s">
        <v>74</v>
      </c>
      <c r="AY524" t="s">
        <v>74</v>
      </c>
      <c r="AZ524" t="s">
        <v>74</v>
      </c>
      <c r="BA524" t="s">
        <v>74</v>
      </c>
      <c r="BB524">
        <v>1685</v>
      </c>
      <c r="BC524" t="s">
        <v>617</v>
      </c>
      <c r="BD524" t="s">
        <v>74</v>
      </c>
      <c r="BE524" t="s">
        <v>8373</v>
      </c>
      <c r="BF524" t="str">
        <f>HYPERLINK("http://dx.doi.org/10.1175/BAMS-87-12-1685","http://dx.doi.org/10.1175/BAMS-87-12-1685")</f>
        <v>http://dx.doi.org/10.1175/BAMS-87-12-1685</v>
      </c>
      <c r="BG524" t="s">
        <v>74</v>
      </c>
      <c r="BH524" t="s">
        <v>74</v>
      </c>
      <c r="BI524">
        <v>14</v>
      </c>
      <c r="BJ524" t="s">
        <v>3208</v>
      </c>
      <c r="BK524" t="s">
        <v>97</v>
      </c>
      <c r="BL524" t="s">
        <v>3208</v>
      </c>
      <c r="BM524" t="s">
        <v>8374</v>
      </c>
      <c r="BN524" t="s">
        <v>74</v>
      </c>
      <c r="BO524" t="s">
        <v>2155</v>
      </c>
      <c r="BP524" t="s">
        <v>74</v>
      </c>
      <c r="BQ524" t="s">
        <v>74</v>
      </c>
      <c r="BR524" t="s">
        <v>100</v>
      </c>
      <c r="BS524" t="s">
        <v>8375</v>
      </c>
      <c r="BT524" t="str">
        <f>HYPERLINK("https%3A%2F%2Fwww.webofscience.com%2Fwos%2Fwoscc%2Ffull-record%2FWOS:000243392900013","View Full Record in Web of Science")</f>
        <v>View Full Record in Web of Science</v>
      </c>
    </row>
    <row r="525" spans="1:72" x14ac:dyDescent="0.15">
      <c r="A525" t="s">
        <v>72</v>
      </c>
      <c r="B525" t="s">
        <v>8376</v>
      </c>
      <c r="C525" t="s">
        <v>74</v>
      </c>
      <c r="D525" t="s">
        <v>74</v>
      </c>
      <c r="E525" t="s">
        <v>74</v>
      </c>
      <c r="F525" t="s">
        <v>8377</v>
      </c>
      <c r="G525" t="s">
        <v>74</v>
      </c>
      <c r="H525" t="s">
        <v>74</v>
      </c>
      <c r="I525" t="s">
        <v>8378</v>
      </c>
      <c r="J525" t="s">
        <v>8379</v>
      </c>
      <c r="K525" t="s">
        <v>74</v>
      </c>
      <c r="L525" t="s">
        <v>74</v>
      </c>
      <c r="M525" t="s">
        <v>78</v>
      </c>
      <c r="N525" t="s">
        <v>79</v>
      </c>
      <c r="O525" t="s">
        <v>74</v>
      </c>
      <c r="P525" t="s">
        <v>74</v>
      </c>
      <c r="Q525" t="s">
        <v>74</v>
      </c>
      <c r="R525" t="s">
        <v>74</v>
      </c>
      <c r="S525" t="s">
        <v>74</v>
      </c>
      <c r="T525" t="s">
        <v>74</v>
      </c>
      <c r="U525" t="s">
        <v>8380</v>
      </c>
      <c r="V525" t="s">
        <v>8381</v>
      </c>
      <c r="W525" t="s">
        <v>8382</v>
      </c>
      <c r="X525" t="s">
        <v>3716</v>
      </c>
      <c r="Y525" t="s">
        <v>8383</v>
      </c>
      <c r="Z525" t="s">
        <v>8384</v>
      </c>
      <c r="AA525" t="s">
        <v>8385</v>
      </c>
      <c r="AB525" t="s">
        <v>8386</v>
      </c>
      <c r="AC525" t="s">
        <v>74</v>
      </c>
      <c r="AD525" t="s">
        <v>74</v>
      </c>
      <c r="AE525" t="s">
        <v>74</v>
      </c>
      <c r="AF525" t="s">
        <v>74</v>
      </c>
      <c r="AG525">
        <v>47</v>
      </c>
      <c r="AH525">
        <v>38</v>
      </c>
      <c r="AI525">
        <v>38</v>
      </c>
      <c r="AJ525">
        <v>0</v>
      </c>
      <c r="AK525">
        <v>17</v>
      </c>
      <c r="AL525" t="s">
        <v>8387</v>
      </c>
      <c r="AM525" t="s">
        <v>726</v>
      </c>
      <c r="AN525" t="s">
        <v>8388</v>
      </c>
      <c r="AO525" t="s">
        <v>728</v>
      </c>
      <c r="AP525" t="s">
        <v>8389</v>
      </c>
      <c r="AQ525" t="s">
        <v>74</v>
      </c>
      <c r="AR525" t="s">
        <v>729</v>
      </c>
      <c r="AS525" t="s">
        <v>8390</v>
      </c>
      <c r="AT525" t="s">
        <v>7963</v>
      </c>
      <c r="AU525">
        <v>2006</v>
      </c>
      <c r="AV525">
        <v>84</v>
      </c>
      <c r="AW525">
        <v>12</v>
      </c>
      <c r="AX525" t="s">
        <v>74</v>
      </c>
      <c r="AY525" t="s">
        <v>74</v>
      </c>
      <c r="AZ525" t="s">
        <v>74</v>
      </c>
      <c r="BA525" t="s">
        <v>74</v>
      </c>
      <c r="BB525">
        <v>1781</v>
      </c>
      <c r="BC525">
        <v>1788</v>
      </c>
      <c r="BD525" t="s">
        <v>74</v>
      </c>
      <c r="BE525" t="s">
        <v>8391</v>
      </c>
      <c r="BF525" t="str">
        <f>HYPERLINK("http://dx.doi.org/10.1139/Z06-164","http://dx.doi.org/10.1139/Z06-164")</f>
        <v>http://dx.doi.org/10.1139/Z06-164</v>
      </c>
      <c r="BG525" t="s">
        <v>74</v>
      </c>
      <c r="BH525" t="s">
        <v>74</v>
      </c>
      <c r="BI525">
        <v>8</v>
      </c>
      <c r="BJ525" t="s">
        <v>596</v>
      </c>
      <c r="BK525" t="s">
        <v>97</v>
      </c>
      <c r="BL525" t="s">
        <v>596</v>
      </c>
      <c r="BM525" t="s">
        <v>8392</v>
      </c>
      <c r="BN525" t="s">
        <v>74</v>
      </c>
      <c r="BO525" t="s">
        <v>74</v>
      </c>
      <c r="BP525" t="s">
        <v>74</v>
      </c>
      <c r="BQ525" t="s">
        <v>74</v>
      </c>
      <c r="BR525" t="s">
        <v>100</v>
      </c>
      <c r="BS525" t="s">
        <v>8393</v>
      </c>
      <c r="BT525" t="str">
        <f>HYPERLINK("https%3A%2F%2Fwww.webofscience.com%2Fwos%2Fwoscc%2Ffull-record%2FWOS:000244533900010","View Full Record in Web of Science")</f>
        <v>View Full Record in Web of Science</v>
      </c>
    </row>
    <row r="526" spans="1:72" x14ac:dyDescent="0.15">
      <c r="A526" t="s">
        <v>72</v>
      </c>
      <c r="B526" t="s">
        <v>8394</v>
      </c>
      <c r="C526" t="s">
        <v>74</v>
      </c>
      <c r="D526" t="s">
        <v>74</v>
      </c>
      <c r="E526" t="s">
        <v>74</v>
      </c>
      <c r="F526" t="s">
        <v>8395</v>
      </c>
      <c r="G526" t="s">
        <v>74</v>
      </c>
      <c r="H526" t="s">
        <v>74</v>
      </c>
      <c r="I526" t="s">
        <v>8396</v>
      </c>
      <c r="J526" t="s">
        <v>8397</v>
      </c>
      <c r="K526" t="s">
        <v>74</v>
      </c>
      <c r="L526" t="s">
        <v>74</v>
      </c>
      <c r="M526" t="s">
        <v>78</v>
      </c>
      <c r="N526" t="s">
        <v>79</v>
      </c>
      <c r="O526" t="s">
        <v>74</v>
      </c>
      <c r="P526" t="s">
        <v>74</v>
      </c>
      <c r="Q526" t="s">
        <v>74</v>
      </c>
      <c r="R526" t="s">
        <v>74</v>
      </c>
      <c r="S526" t="s">
        <v>74</v>
      </c>
      <c r="T526" t="s">
        <v>74</v>
      </c>
      <c r="U526" t="s">
        <v>8398</v>
      </c>
      <c r="V526" t="s">
        <v>8399</v>
      </c>
      <c r="W526" t="s">
        <v>8400</v>
      </c>
      <c r="X526" t="s">
        <v>8401</v>
      </c>
      <c r="Y526" t="s">
        <v>8402</v>
      </c>
      <c r="Z526" t="s">
        <v>8403</v>
      </c>
      <c r="AA526" t="s">
        <v>8404</v>
      </c>
      <c r="AB526" t="s">
        <v>8405</v>
      </c>
      <c r="AC526" t="s">
        <v>74</v>
      </c>
      <c r="AD526" t="s">
        <v>74</v>
      </c>
      <c r="AE526" t="s">
        <v>74</v>
      </c>
      <c r="AF526" t="s">
        <v>74</v>
      </c>
      <c r="AG526">
        <v>97</v>
      </c>
      <c r="AH526">
        <v>659</v>
      </c>
      <c r="AI526">
        <v>689</v>
      </c>
      <c r="AJ526">
        <v>0</v>
      </c>
      <c r="AK526">
        <v>60</v>
      </c>
      <c r="AL526" t="s">
        <v>613</v>
      </c>
      <c r="AM526" t="s">
        <v>678</v>
      </c>
      <c r="AN526" t="s">
        <v>679</v>
      </c>
      <c r="AO526" t="s">
        <v>8406</v>
      </c>
      <c r="AP526" t="s">
        <v>8407</v>
      </c>
      <c r="AQ526" t="s">
        <v>74</v>
      </c>
      <c r="AR526" t="s">
        <v>8408</v>
      </c>
      <c r="AS526" t="s">
        <v>8409</v>
      </c>
      <c r="AT526" t="s">
        <v>7963</v>
      </c>
      <c r="AU526">
        <v>2006</v>
      </c>
      <c r="AV526">
        <v>27</v>
      </c>
      <c r="AW526" t="s">
        <v>8410</v>
      </c>
      <c r="AX526" t="s">
        <v>74</v>
      </c>
      <c r="AY526" t="s">
        <v>74</v>
      </c>
      <c r="AZ526" t="s">
        <v>74</v>
      </c>
      <c r="BA526" t="s">
        <v>74</v>
      </c>
      <c r="BB526">
        <v>787</v>
      </c>
      <c r="BC526">
        <v>813</v>
      </c>
      <c r="BD526" t="s">
        <v>74</v>
      </c>
      <c r="BE526" t="s">
        <v>8411</v>
      </c>
      <c r="BF526" t="str">
        <f>HYPERLINK("http://dx.doi.org/10.1007/s00382-006-0158-0","http://dx.doi.org/10.1007/s00382-006-0158-0")</f>
        <v>http://dx.doi.org/10.1007/s00382-006-0158-0</v>
      </c>
      <c r="BG526" t="s">
        <v>74</v>
      </c>
      <c r="BH526" t="s">
        <v>74</v>
      </c>
      <c r="BI526">
        <v>27</v>
      </c>
      <c r="BJ526" t="s">
        <v>3208</v>
      </c>
      <c r="BK526" t="s">
        <v>97</v>
      </c>
      <c r="BL526" t="s">
        <v>3208</v>
      </c>
      <c r="BM526" t="s">
        <v>8412</v>
      </c>
      <c r="BN526" t="s">
        <v>74</v>
      </c>
      <c r="BO526" t="s">
        <v>1384</v>
      </c>
      <c r="BP526" t="s">
        <v>74</v>
      </c>
      <c r="BQ526" t="s">
        <v>74</v>
      </c>
      <c r="BR526" t="s">
        <v>100</v>
      </c>
      <c r="BS526" t="s">
        <v>8413</v>
      </c>
      <c r="BT526" t="str">
        <f>HYPERLINK("https%3A%2F%2Fwww.webofscience.com%2Fwos%2Fwoscc%2Ffull-record%2FWOS:000241258200007","View Full Record in Web of Science")</f>
        <v>View Full Record in Web of Science</v>
      </c>
    </row>
    <row r="527" spans="1:72" x14ac:dyDescent="0.15">
      <c r="A527" t="s">
        <v>72</v>
      </c>
      <c r="B527" t="s">
        <v>8414</v>
      </c>
      <c r="C527" t="s">
        <v>74</v>
      </c>
      <c r="D527" t="s">
        <v>74</v>
      </c>
      <c r="E527" t="s">
        <v>74</v>
      </c>
      <c r="F527" t="s">
        <v>8415</v>
      </c>
      <c r="G527" t="s">
        <v>74</v>
      </c>
      <c r="H527" t="s">
        <v>74</v>
      </c>
      <c r="I527" t="s">
        <v>8416</v>
      </c>
      <c r="J527" t="s">
        <v>8417</v>
      </c>
      <c r="K527" t="s">
        <v>74</v>
      </c>
      <c r="L527" t="s">
        <v>74</v>
      </c>
      <c r="M527" t="s">
        <v>78</v>
      </c>
      <c r="N527" t="s">
        <v>79</v>
      </c>
      <c r="O527" t="s">
        <v>74</v>
      </c>
      <c r="P527" t="s">
        <v>74</v>
      </c>
      <c r="Q527" t="s">
        <v>74</v>
      </c>
      <c r="R527" t="s">
        <v>74</v>
      </c>
      <c r="S527" t="s">
        <v>74</v>
      </c>
      <c r="T527" t="s">
        <v>8418</v>
      </c>
      <c r="U527" t="s">
        <v>8419</v>
      </c>
      <c r="V527" t="s">
        <v>8420</v>
      </c>
      <c r="W527" t="s">
        <v>8421</v>
      </c>
      <c r="X527" t="s">
        <v>8422</v>
      </c>
      <c r="Y527" t="s">
        <v>8423</v>
      </c>
      <c r="Z527" t="s">
        <v>8424</v>
      </c>
      <c r="AA527" t="s">
        <v>74</v>
      </c>
      <c r="AB527" t="s">
        <v>8425</v>
      </c>
      <c r="AC527" t="s">
        <v>74</v>
      </c>
      <c r="AD527" t="s">
        <v>74</v>
      </c>
      <c r="AE527" t="s">
        <v>74</v>
      </c>
      <c r="AF527" t="s">
        <v>74</v>
      </c>
      <c r="AG527">
        <v>47</v>
      </c>
      <c r="AH527">
        <v>11</v>
      </c>
      <c r="AI527">
        <v>13</v>
      </c>
      <c r="AJ527">
        <v>0</v>
      </c>
      <c r="AK527">
        <v>28</v>
      </c>
      <c r="AL527" t="s">
        <v>838</v>
      </c>
      <c r="AM527" t="s">
        <v>678</v>
      </c>
      <c r="AN527" t="s">
        <v>839</v>
      </c>
      <c r="AO527" t="s">
        <v>8426</v>
      </c>
      <c r="AP527" t="s">
        <v>74</v>
      </c>
      <c r="AQ527" t="s">
        <v>74</v>
      </c>
      <c r="AR527" t="s">
        <v>8427</v>
      </c>
      <c r="AS527" t="s">
        <v>8428</v>
      </c>
      <c r="AT527" t="s">
        <v>7963</v>
      </c>
      <c r="AU527">
        <v>2006</v>
      </c>
      <c r="AV527">
        <v>145</v>
      </c>
      <c r="AW527">
        <v>4</v>
      </c>
      <c r="AX527" t="s">
        <v>74</v>
      </c>
      <c r="AY527" t="s">
        <v>74</v>
      </c>
      <c r="AZ527" t="s">
        <v>74</v>
      </c>
      <c r="BA527" t="s">
        <v>74</v>
      </c>
      <c r="BB527">
        <v>493</v>
      </c>
      <c r="BC527">
        <v>501</v>
      </c>
      <c r="BD527" t="s">
        <v>74</v>
      </c>
      <c r="BE527" t="s">
        <v>8429</v>
      </c>
      <c r="BF527" t="str">
        <f>HYPERLINK("http://dx.doi.org/10.1016/j.cbpa.2006.08.023","http://dx.doi.org/10.1016/j.cbpa.2006.08.023")</f>
        <v>http://dx.doi.org/10.1016/j.cbpa.2006.08.023</v>
      </c>
      <c r="BG527" t="s">
        <v>74</v>
      </c>
      <c r="BH527" t="s">
        <v>74</v>
      </c>
      <c r="BI527">
        <v>9</v>
      </c>
      <c r="BJ527" t="s">
        <v>8430</v>
      </c>
      <c r="BK527" t="s">
        <v>97</v>
      </c>
      <c r="BL527" t="s">
        <v>8430</v>
      </c>
      <c r="BM527" t="s">
        <v>8431</v>
      </c>
      <c r="BN527">
        <v>16987677</v>
      </c>
      <c r="BO527" t="s">
        <v>74</v>
      </c>
      <c r="BP527" t="s">
        <v>74</v>
      </c>
      <c r="BQ527" t="s">
        <v>74</v>
      </c>
      <c r="BR527" t="s">
        <v>100</v>
      </c>
      <c r="BS527" t="s">
        <v>8432</v>
      </c>
      <c r="BT527" t="str">
        <f>HYPERLINK("https%3A%2F%2Fwww.webofscience.com%2Fwos%2Fwoscc%2Ffull-record%2FWOS:000242759100010","View Full Record in Web of Science")</f>
        <v>View Full Record in Web of Science</v>
      </c>
    </row>
    <row r="528" spans="1:72" x14ac:dyDescent="0.15">
      <c r="A528" t="s">
        <v>72</v>
      </c>
      <c r="B528" t="s">
        <v>8433</v>
      </c>
      <c r="C528" t="s">
        <v>74</v>
      </c>
      <c r="D528" t="s">
        <v>74</v>
      </c>
      <c r="E528" t="s">
        <v>74</v>
      </c>
      <c r="F528" t="s">
        <v>8434</v>
      </c>
      <c r="G528" t="s">
        <v>74</v>
      </c>
      <c r="H528" t="s">
        <v>74</v>
      </c>
      <c r="I528" t="s">
        <v>8435</v>
      </c>
      <c r="J528" t="s">
        <v>8436</v>
      </c>
      <c r="K528" t="s">
        <v>74</v>
      </c>
      <c r="L528" t="s">
        <v>74</v>
      </c>
      <c r="M528" t="s">
        <v>78</v>
      </c>
      <c r="N528" t="s">
        <v>79</v>
      </c>
      <c r="O528" t="s">
        <v>74</v>
      </c>
      <c r="P528" t="s">
        <v>74</v>
      </c>
      <c r="Q528" t="s">
        <v>74</v>
      </c>
      <c r="R528" t="s">
        <v>74</v>
      </c>
      <c r="S528" t="s">
        <v>74</v>
      </c>
      <c r="T528" t="s">
        <v>8437</v>
      </c>
      <c r="U528" t="s">
        <v>8438</v>
      </c>
      <c r="V528" t="s">
        <v>8439</v>
      </c>
      <c r="W528" t="s">
        <v>8440</v>
      </c>
      <c r="X528" t="s">
        <v>1016</v>
      </c>
      <c r="Y528" t="s">
        <v>8441</v>
      </c>
      <c r="Z528" t="s">
        <v>8442</v>
      </c>
      <c r="AA528" t="s">
        <v>2747</v>
      </c>
      <c r="AB528" t="s">
        <v>2748</v>
      </c>
      <c r="AC528" t="s">
        <v>74</v>
      </c>
      <c r="AD528" t="s">
        <v>74</v>
      </c>
      <c r="AE528" t="s">
        <v>74</v>
      </c>
      <c r="AF528" t="s">
        <v>74</v>
      </c>
      <c r="AG528">
        <v>23</v>
      </c>
      <c r="AH528">
        <v>41</v>
      </c>
      <c r="AI528">
        <v>44</v>
      </c>
      <c r="AJ528">
        <v>0</v>
      </c>
      <c r="AK528">
        <v>15</v>
      </c>
      <c r="AL528" t="s">
        <v>817</v>
      </c>
      <c r="AM528" t="s">
        <v>818</v>
      </c>
      <c r="AN528" t="s">
        <v>819</v>
      </c>
      <c r="AO528" t="s">
        <v>8443</v>
      </c>
      <c r="AP528" t="s">
        <v>8444</v>
      </c>
      <c r="AQ528" t="s">
        <v>74</v>
      </c>
      <c r="AR528" t="s">
        <v>8445</v>
      </c>
      <c r="AS528" t="s">
        <v>8446</v>
      </c>
      <c r="AT528" t="s">
        <v>7963</v>
      </c>
      <c r="AU528">
        <v>2006</v>
      </c>
      <c r="AV528">
        <v>32</v>
      </c>
      <c r="AW528">
        <v>10</v>
      </c>
      <c r="AX528" t="s">
        <v>74</v>
      </c>
      <c r="AY528" t="s">
        <v>74</v>
      </c>
      <c r="AZ528" t="s">
        <v>74</v>
      </c>
      <c r="BA528" t="s">
        <v>74</v>
      </c>
      <c r="BB528">
        <v>1780</v>
      </c>
      <c r="BC528">
        <v>1795</v>
      </c>
      <c r="BD528" t="s">
        <v>74</v>
      </c>
      <c r="BE528" t="s">
        <v>8447</v>
      </c>
      <c r="BF528" t="str">
        <f>HYPERLINK("http://dx.doi.org/10.1016/j.cageo.2006.05.003","http://dx.doi.org/10.1016/j.cageo.2006.05.003")</f>
        <v>http://dx.doi.org/10.1016/j.cageo.2006.05.003</v>
      </c>
      <c r="BG528" t="s">
        <v>74</v>
      </c>
      <c r="BH528" t="s">
        <v>74</v>
      </c>
      <c r="BI528">
        <v>16</v>
      </c>
      <c r="BJ528" t="s">
        <v>8448</v>
      </c>
      <c r="BK528" t="s">
        <v>97</v>
      </c>
      <c r="BL528" t="s">
        <v>8449</v>
      </c>
      <c r="BM528" t="s">
        <v>8450</v>
      </c>
      <c r="BN528" t="s">
        <v>74</v>
      </c>
      <c r="BO528" t="s">
        <v>74</v>
      </c>
      <c r="BP528" t="s">
        <v>74</v>
      </c>
      <c r="BQ528" t="s">
        <v>74</v>
      </c>
      <c r="BR528" t="s">
        <v>100</v>
      </c>
      <c r="BS528" t="s">
        <v>8451</v>
      </c>
      <c r="BT528" t="str">
        <f>HYPERLINK("https%3A%2F%2Fwww.webofscience.com%2Fwos%2Fwoscc%2Ffull-record%2FWOS:000240857800021","View Full Record in Web of Science")</f>
        <v>View Full Record in Web of Science</v>
      </c>
    </row>
    <row r="529" spans="1:72" x14ac:dyDescent="0.15">
      <c r="A529" t="s">
        <v>72</v>
      </c>
      <c r="B529" t="s">
        <v>8452</v>
      </c>
      <c r="C529" t="s">
        <v>74</v>
      </c>
      <c r="D529" t="s">
        <v>74</v>
      </c>
      <c r="E529" t="s">
        <v>74</v>
      </c>
      <c r="F529" t="s">
        <v>8453</v>
      </c>
      <c r="G529" t="s">
        <v>74</v>
      </c>
      <c r="H529" t="s">
        <v>74</v>
      </c>
      <c r="I529" t="s">
        <v>8454</v>
      </c>
      <c r="J529" t="s">
        <v>8455</v>
      </c>
      <c r="K529" t="s">
        <v>74</v>
      </c>
      <c r="L529" t="s">
        <v>74</v>
      </c>
      <c r="M529" t="s">
        <v>78</v>
      </c>
      <c r="N529" t="s">
        <v>79</v>
      </c>
      <c r="O529" t="s">
        <v>74</v>
      </c>
      <c r="P529" t="s">
        <v>74</v>
      </c>
      <c r="Q529" t="s">
        <v>74</v>
      </c>
      <c r="R529" t="s">
        <v>74</v>
      </c>
      <c r="S529" t="s">
        <v>74</v>
      </c>
      <c r="T529" t="s">
        <v>8456</v>
      </c>
      <c r="U529" t="s">
        <v>8457</v>
      </c>
      <c r="V529" t="s">
        <v>8458</v>
      </c>
      <c r="W529" t="s">
        <v>8459</v>
      </c>
      <c r="X529" t="s">
        <v>8460</v>
      </c>
      <c r="Y529" t="s">
        <v>8461</v>
      </c>
      <c r="Z529" t="s">
        <v>8462</v>
      </c>
      <c r="AA529" t="s">
        <v>8463</v>
      </c>
      <c r="AB529" t="s">
        <v>8464</v>
      </c>
      <c r="AC529" t="s">
        <v>74</v>
      </c>
      <c r="AD529" t="s">
        <v>74</v>
      </c>
      <c r="AE529" t="s">
        <v>74</v>
      </c>
      <c r="AF529" t="s">
        <v>74</v>
      </c>
      <c r="AG529">
        <v>47</v>
      </c>
      <c r="AH529">
        <v>423</v>
      </c>
      <c r="AI529">
        <v>502</v>
      </c>
      <c r="AJ529">
        <v>4</v>
      </c>
      <c r="AK529">
        <v>214</v>
      </c>
      <c r="AL529" t="s">
        <v>2397</v>
      </c>
      <c r="AM529" t="s">
        <v>2398</v>
      </c>
      <c r="AN529" t="s">
        <v>2399</v>
      </c>
      <c r="AO529" t="s">
        <v>8465</v>
      </c>
      <c r="AP529" t="s">
        <v>74</v>
      </c>
      <c r="AQ529" t="s">
        <v>74</v>
      </c>
      <c r="AR529" t="s">
        <v>8466</v>
      </c>
      <c r="AS529" t="s">
        <v>8467</v>
      </c>
      <c r="AT529" t="s">
        <v>7963</v>
      </c>
      <c r="AU529">
        <v>2006</v>
      </c>
      <c r="AV529">
        <v>20</v>
      </c>
      <c r="AW529">
        <v>6</v>
      </c>
      <c r="AX529" t="s">
        <v>74</v>
      </c>
      <c r="AY529" t="s">
        <v>74</v>
      </c>
      <c r="AZ529" t="s">
        <v>74</v>
      </c>
      <c r="BA529" t="s">
        <v>74</v>
      </c>
      <c r="BB529">
        <v>1791</v>
      </c>
      <c r="BC529">
        <v>1798</v>
      </c>
      <c r="BD529" t="s">
        <v>74</v>
      </c>
      <c r="BE529" t="s">
        <v>8468</v>
      </c>
      <c r="BF529" t="str">
        <f>HYPERLINK("http://dx.doi.org/10.1111/j.1523-1739.2006.00540.x","http://dx.doi.org/10.1111/j.1523-1739.2006.00540.x")</f>
        <v>http://dx.doi.org/10.1111/j.1523-1739.2006.00540.x</v>
      </c>
      <c r="BG529" t="s">
        <v>74</v>
      </c>
      <c r="BH529" t="s">
        <v>74</v>
      </c>
      <c r="BI529">
        <v>8</v>
      </c>
      <c r="BJ529" t="s">
        <v>8469</v>
      </c>
      <c r="BK529" t="s">
        <v>97</v>
      </c>
      <c r="BL529" t="s">
        <v>5603</v>
      </c>
      <c r="BM529" t="s">
        <v>8470</v>
      </c>
      <c r="BN529">
        <v>17181814</v>
      </c>
      <c r="BO529" t="s">
        <v>74</v>
      </c>
      <c r="BP529" t="s">
        <v>74</v>
      </c>
      <c r="BQ529" t="s">
        <v>74</v>
      </c>
      <c r="BR529" t="s">
        <v>100</v>
      </c>
      <c r="BS529" t="s">
        <v>8471</v>
      </c>
      <c r="BT529" t="str">
        <f>HYPERLINK("https%3A%2F%2Fwww.webofscience.com%2Fwos%2Fwoscc%2Ffull-record%2FWOS:000242724500029","View Full Record in Web of Science")</f>
        <v>View Full Record in Web of Science</v>
      </c>
    </row>
    <row r="530" spans="1:72" x14ac:dyDescent="0.15">
      <c r="A530" t="s">
        <v>72</v>
      </c>
      <c r="B530" t="s">
        <v>8472</v>
      </c>
      <c r="C530" t="s">
        <v>74</v>
      </c>
      <c r="D530" t="s">
        <v>74</v>
      </c>
      <c r="E530" t="s">
        <v>74</v>
      </c>
      <c r="F530" t="s">
        <v>8473</v>
      </c>
      <c r="G530" t="s">
        <v>74</v>
      </c>
      <c r="H530" t="s">
        <v>74</v>
      </c>
      <c r="I530" t="s">
        <v>8474</v>
      </c>
      <c r="J530" t="s">
        <v>8475</v>
      </c>
      <c r="K530" t="s">
        <v>74</v>
      </c>
      <c r="L530" t="s">
        <v>74</v>
      </c>
      <c r="M530" t="s">
        <v>78</v>
      </c>
      <c r="N530" t="s">
        <v>79</v>
      </c>
      <c r="O530" t="s">
        <v>74</v>
      </c>
      <c r="P530" t="s">
        <v>74</v>
      </c>
      <c r="Q530" t="s">
        <v>74</v>
      </c>
      <c r="R530" t="s">
        <v>74</v>
      </c>
      <c r="S530" t="s">
        <v>74</v>
      </c>
      <c r="T530" t="s">
        <v>8476</v>
      </c>
      <c r="U530" t="s">
        <v>74</v>
      </c>
      <c r="V530" t="s">
        <v>8477</v>
      </c>
      <c r="W530" t="s">
        <v>8478</v>
      </c>
      <c r="X530" t="s">
        <v>8479</v>
      </c>
      <c r="Y530" t="s">
        <v>8480</v>
      </c>
      <c r="Z530" t="s">
        <v>8481</v>
      </c>
      <c r="AA530" t="s">
        <v>8482</v>
      </c>
      <c r="AB530" t="s">
        <v>8483</v>
      </c>
      <c r="AC530" t="s">
        <v>74</v>
      </c>
      <c r="AD530" t="s">
        <v>74</v>
      </c>
      <c r="AE530" t="s">
        <v>74</v>
      </c>
      <c r="AF530" t="s">
        <v>74</v>
      </c>
      <c r="AG530">
        <v>11</v>
      </c>
      <c r="AH530">
        <v>2</v>
      </c>
      <c r="AI530">
        <v>2</v>
      </c>
      <c r="AJ530">
        <v>0</v>
      </c>
      <c r="AK530">
        <v>4</v>
      </c>
      <c r="AL530" t="s">
        <v>817</v>
      </c>
      <c r="AM530" t="s">
        <v>818</v>
      </c>
      <c r="AN530" t="s">
        <v>819</v>
      </c>
      <c r="AO530" t="s">
        <v>8484</v>
      </c>
      <c r="AP530" t="s">
        <v>8485</v>
      </c>
      <c r="AQ530" t="s">
        <v>74</v>
      </c>
      <c r="AR530" t="s">
        <v>8486</v>
      </c>
      <c r="AS530" t="s">
        <v>8487</v>
      </c>
      <c r="AT530" t="s">
        <v>7963</v>
      </c>
      <c r="AU530">
        <v>2006</v>
      </c>
      <c r="AV530">
        <v>26</v>
      </c>
      <c r="AW530">
        <v>19</v>
      </c>
      <c r="AX530" t="s">
        <v>74</v>
      </c>
      <c r="AY530" t="s">
        <v>74</v>
      </c>
      <c r="AZ530" t="s">
        <v>74</v>
      </c>
      <c r="BA530" t="s">
        <v>74</v>
      </c>
      <c r="BB530">
        <v>2386</v>
      </c>
      <c r="BC530">
        <v>2392</v>
      </c>
      <c r="BD530" t="s">
        <v>74</v>
      </c>
      <c r="BE530" t="s">
        <v>8488</v>
      </c>
      <c r="BF530" t="str">
        <f>HYPERLINK("http://dx.doi.org/10.1016/j.csr.2006.07.010","http://dx.doi.org/10.1016/j.csr.2006.07.010")</f>
        <v>http://dx.doi.org/10.1016/j.csr.2006.07.010</v>
      </c>
      <c r="BG530" t="s">
        <v>74</v>
      </c>
      <c r="BH530" t="s">
        <v>74</v>
      </c>
      <c r="BI530">
        <v>7</v>
      </c>
      <c r="BJ530" t="s">
        <v>1260</v>
      </c>
      <c r="BK530" t="s">
        <v>97</v>
      </c>
      <c r="BL530" t="s">
        <v>1260</v>
      </c>
      <c r="BM530" t="s">
        <v>8489</v>
      </c>
      <c r="BN530" t="s">
        <v>74</v>
      </c>
      <c r="BO530" t="s">
        <v>74</v>
      </c>
      <c r="BP530" t="s">
        <v>74</v>
      </c>
      <c r="BQ530" t="s">
        <v>74</v>
      </c>
      <c r="BR530" t="s">
        <v>100</v>
      </c>
      <c r="BS530" t="s">
        <v>8490</v>
      </c>
      <c r="BT530" t="str">
        <f>HYPERLINK("https%3A%2F%2Fwww.webofscience.com%2Fwos%2Fwoscc%2Ffull-record%2FWOS:000242320000004","View Full Record in Web of Science")</f>
        <v>View Full Record in Web of Science</v>
      </c>
    </row>
    <row r="531" spans="1:72" x14ac:dyDescent="0.15">
      <c r="A531" t="s">
        <v>72</v>
      </c>
      <c r="B531" t="s">
        <v>8491</v>
      </c>
      <c r="C531" t="s">
        <v>74</v>
      </c>
      <c r="D531" t="s">
        <v>74</v>
      </c>
      <c r="E531" t="s">
        <v>74</v>
      </c>
      <c r="F531" t="s">
        <v>8492</v>
      </c>
      <c r="G531" t="s">
        <v>74</v>
      </c>
      <c r="H531" t="s">
        <v>74</v>
      </c>
      <c r="I531" t="s">
        <v>8493</v>
      </c>
      <c r="J531" t="s">
        <v>8494</v>
      </c>
      <c r="K531" t="s">
        <v>74</v>
      </c>
      <c r="L531" t="s">
        <v>74</v>
      </c>
      <c r="M531" t="s">
        <v>78</v>
      </c>
      <c r="N531" t="s">
        <v>79</v>
      </c>
      <c r="O531" t="s">
        <v>74</v>
      </c>
      <c r="P531" t="s">
        <v>74</v>
      </c>
      <c r="Q531" t="s">
        <v>74</v>
      </c>
      <c r="R531" t="s">
        <v>74</v>
      </c>
      <c r="S531" t="s">
        <v>74</v>
      </c>
      <c r="T531" t="s">
        <v>8495</v>
      </c>
      <c r="U531" t="s">
        <v>8496</v>
      </c>
      <c r="V531" t="s">
        <v>8497</v>
      </c>
      <c r="W531" t="s">
        <v>8498</v>
      </c>
      <c r="X531" t="s">
        <v>8499</v>
      </c>
      <c r="Y531" t="s">
        <v>8500</v>
      </c>
      <c r="Z531" t="s">
        <v>8501</v>
      </c>
      <c r="AA531" t="s">
        <v>74</v>
      </c>
      <c r="AB531" t="s">
        <v>74</v>
      </c>
      <c r="AC531" t="s">
        <v>74</v>
      </c>
      <c r="AD531" t="s">
        <v>74</v>
      </c>
      <c r="AE531" t="s">
        <v>74</v>
      </c>
      <c r="AF531" t="s">
        <v>74</v>
      </c>
      <c r="AG531">
        <v>61</v>
      </c>
      <c r="AH531">
        <v>10</v>
      </c>
      <c r="AI531">
        <v>12</v>
      </c>
      <c r="AJ531">
        <v>0</v>
      </c>
      <c r="AK531">
        <v>2</v>
      </c>
      <c r="AL531" t="s">
        <v>3322</v>
      </c>
      <c r="AM531" t="s">
        <v>1197</v>
      </c>
      <c r="AN531" t="s">
        <v>3323</v>
      </c>
      <c r="AO531" t="s">
        <v>8502</v>
      </c>
      <c r="AP531" t="s">
        <v>74</v>
      </c>
      <c r="AQ531" t="s">
        <v>74</v>
      </c>
      <c r="AR531" t="s">
        <v>8503</v>
      </c>
      <c r="AS531" t="s">
        <v>8504</v>
      </c>
      <c r="AT531" t="s">
        <v>7963</v>
      </c>
      <c r="AU531">
        <v>2006</v>
      </c>
      <c r="AV531">
        <v>27</v>
      </c>
      <c r="AW531">
        <v>6</v>
      </c>
      <c r="AX531" t="s">
        <v>74</v>
      </c>
      <c r="AY531" t="s">
        <v>74</v>
      </c>
      <c r="AZ531" t="s">
        <v>74</v>
      </c>
      <c r="BA531" t="s">
        <v>74</v>
      </c>
      <c r="BB531">
        <v>728</v>
      </c>
      <c r="BC531">
        <v>734</v>
      </c>
      <c r="BD531" t="s">
        <v>74</v>
      </c>
      <c r="BE531" t="s">
        <v>8505</v>
      </c>
      <c r="BF531" t="str">
        <f>HYPERLINK("http://dx.doi.org/10.1016/j.cretres.2006.01.004","http://dx.doi.org/10.1016/j.cretres.2006.01.004")</f>
        <v>http://dx.doi.org/10.1016/j.cretres.2006.01.004</v>
      </c>
      <c r="BG531" t="s">
        <v>74</v>
      </c>
      <c r="BH531" t="s">
        <v>74</v>
      </c>
      <c r="BI531">
        <v>7</v>
      </c>
      <c r="BJ531" t="s">
        <v>2713</v>
      </c>
      <c r="BK531" t="s">
        <v>97</v>
      </c>
      <c r="BL531" t="s">
        <v>2713</v>
      </c>
      <c r="BM531" t="s">
        <v>8506</v>
      </c>
      <c r="BN531" t="s">
        <v>74</v>
      </c>
      <c r="BO531" t="s">
        <v>74</v>
      </c>
      <c r="BP531" t="s">
        <v>74</v>
      </c>
      <c r="BQ531" t="s">
        <v>74</v>
      </c>
      <c r="BR531" t="s">
        <v>100</v>
      </c>
      <c r="BS531" t="s">
        <v>8507</v>
      </c>
      <c r="BT531" t="str">
        <f>HYPERLINK("https%3A%2F%2Fwww.webofscience.com%2Fwos%2Fwoscc%2Ffull-record%2FWOS:000242714000002","View Full Record in Web of Science")</f>
        <v>View Full Record in Web of Science</v>
      </c>
    </row>
    <row r="532" spans="1:72" x14ac:dyDescent="0.15">
      <c r="A532" t="s">
        <v>72</v>
      </c>
      <c r="B532" t="s">
        <v>8508</v>
      </c>
      <c r="C532" t="s">
        <v>74</v>
      </c>
      <c r="D532" t="s">
        <v>74</v>
      </c>
      <c r="E532" t="s">
        <v>74</v>
      </c>
      <c r="F532" t="s">
        <v>8509</v>
      </c>
      <c r="G532" t="s">
        <v>74</v>
      </c>
      <c r="H532" t="s">
        <v>74</v>
      </c>
      <c r="I532" t="s">
        <v>8510</v>
      </c>
      <c r="J532" t="s">
        <v>1243</v>
      </c>
      <c r="K532" t="s">
        <v>74</v>
      </c>
      <c r="L532" t="s">
        <v>74</v>
      </c>
      <c r="M532" t="s">
        <v>78</v>
      </c>
      <c r="N532" t="s">
        <v>79</v>
      </c>
      <c r="O532" t="s">
        <v>74</v>
      </c>
      <c r="P532" t="s">
        <v>74</v>
      </c>
      <c r="Q532" t="s">
        <v>74</v>
      </c>
      <c r="R532" t="s">
        <v>74</v>
      </c>
      <c r="S532" t="s">
        <v>74</v>
      </c>
      <c r="T532" t="s">
        <v>8511</v>
      </c>
      <c r="U532" t="s">
        <v>8512</v>
      </c>
      <c r="V532" t="s">
        <v>8513</v>
      </c>
      <c r="W532" t="s">
        <v>8514</v>
      </c>
      <c r="X532" t="s">
        <v>8515</v>
      </c>
      <c r="Y532" t="s">
        <v>8516</v>
      </c>
      <c r="Z532" t="s">
        <v>8517</v>
      </c>
      <c r="AA532" t="s">
        <v>8518</v>
      </c>
      <c r="AB532" t="s">
        <v>8519</v>
      </c>
      <c r="AC532" t="s">
        <v>74</v>
      </c>
      <c r="AD532" t="s">
        <v>74</v>
      </c>
      <c r="AE532" t="s">
        <v>74</v>
      </c>
      <c r="AF532" t="s">
        <v>74</v>
      </c>
      <c r="AG532">
        <v>52</v>
      </c>
      <c r="AH532">
        <v>6</v>
      </c>
      <c r="AI532">
        <v>6</v>
      </c>
      <c r="AJ532">
        <v>0</v>
      </c>
      <c r="AK532">
        <v>11</v>
      </c>
      <c r="AL532" t="s">
        <v>817</v>
      </c>
      <c r="AM532" t="s">
        <v>818</v>
      </c>
      <c r="AN532" t="s">
        <v>819</v>
      </c>
      <c r="AO532" t="s">
        <v>1255</v>
      </c>
      <c r="AP532" t="s">
        <v>1256</v>
      </c>
      <c r="AQ532" t="s">
        <v>74</v>
      </c>
      <c r="AR532" t="s">
        <v>1257</v>
      </c>
      <c r="AS532" t="s">
        <v>1258</v>
      </c>
      <c r="AT532" t="s">
        <v>7963</v>
      </c>
      <c r="AU532">
        <v>2006</v>
      </c>
      <c r="AV532">
        <v>53</v>
      </c>
      <c r="AW532">
        <v>12</v>
      </c>
      <c r="AX532" t="s">
        <v>74</v>
      </c>
      <c r="AY532" t="s">
        <v>74</v>
      </c>
      <c r="AZ532" t="s">
        <v>74</v>
      </c>
      <c r="BA532" t="s">
        <v>74</v>
      </c>
      <c r="BB532">
        <v>1941</v>
      </c>
      <c r="BC532">
        <v>1960</v>
      </c>
      <c r="BD532" t="s">
        <v>74</v>
      </c>
      <c r="BE532" t="s">
        <v>8520</v>
      </c>
      <c r="BF532" t="str">
        <f>HYPERLINK("http://dx.doi.org/10.1016/j.dsr.2006.08.014","http://dx.doi.org/10.1016/j.dsr.2006.08.014")</f>
        <v>http://dx.doi.org/10.1016/j.dsr.2006.08.014</v>
      </c>
      <c r="BG532" t="s">
        <v>74</v>
      </c>
      <c r="BH532" t="s">
        <v>74</v>
      </c>
      <c r="BI532">
        <v>20</v>
      </c>
      <c r="BJ532" t="s">
        <v>1260</v>
      </c>
      <c r="BK532" t="s">
        <v>97</v>
      </c>
      <c r="BL532" t="s">
        <v>1260</v>
      </c>
      <c r="BM532" t="s">
        <v>8521</v>
      </c>
      <c r="BN532" t="s">
        <v>74</v>
      </c>
      <c r="BO532" t="s">
        <v>74</v>
      </c>
      <c r="BP532" t="s">
        <v>74</v>
      </c>
      <c r="BQ532" t="s">
        <v>74</v>
      </c>
      <c r="BR532" t="s">
        <v>100</v>
      </c>
      <c r="BS532" t="s">
        <v>8522</v>
      </c>
      <c r="BT532" t="str">
        <f>HYPERLINK("https%3A%2F%2Fwww.webofscience.com%2Fwos%2Fwoscc%2Ffull-record%2FWOS:000243255200006","View Full Record in Web of Science")</f>
        <v>View Full Record in Web of Science</v>
      </c>
    </row>
    <row r="533" spans="1:72" x14ac:dyDescent="0.15">
      <c r="A533" t="s">
        <v>72</v>
      </c>
      <c r="B533" t="s">
        <v>8523</v>
      </c>
      <c r="C533" t="s">
        <v>74</v>
      </c>
      <c r="D533" t="s">
        <v>74</v>
      </c>
      <c r="E533" t="s">
        <v>74</v>
      </c>
      <c r="F533" t="s">
        <v>8524</v>
      </c>
      <c r="G533" t="s">
        <v>74</v>
      </c>
      <c r="H533" t="s">
        <v>74</v>
      </c>
      <c r="I533" t="s">
        <v>8525</v>
      </c>
      <c r="J533" t="s">
        <v>1243</v>
      </c>
      <c r="K533" t="s">
        <v>74</v>
      </c>
      <c r="L533" t="s">
        <v>74</v>
      </c>
      <c r="M533" t="s">
        <v>78</v>
      </c>
      <c r="N533" t="s">
        <v>79</v>
      </c>
      <c r="O533" t="s">
        <v>74</v>
      </c>
      <c r="P533" t="s">
        <v>74</v>
      </c>
      <c r="Q533" t="s">
        <v>74</v>
      </c>
      <c r="R533" t="s">
        <v>74</v>
      </c>
      <c r="S533" t="s">
        <v>74</v>
      </c>
      <c r="T533" t="s">
        <v>8526</v>
      </c>
      <c r="U533" t="s">
        <v>8527</v>
      </c>
      <c r="V533" t="s">
        <v>8528</v>
      </c>
      <c r="W533" t="s">
        <v>8529</v>
      </c>
      <c r="X533" t="s">
        <v>8530</v>
      </c>
      <c r="Y533" t="s">
        <v>8531</v>
      </c>
      <c r="Z533" t="s">
        <v>8532</v>
      </c>
      <c r="AA533" t="s">
        <v>8533</v>
      </c>
      <c r="AB533" t="s">
        <v>74</v>
      </c>
      <c r="AC533" t="s">
        <v>74</v>
      </c>
      <c r="AD533" t="s">
        <v>74</v>
      </c>
      <c r="AE533" t="s">
        <v>74</v>
      </c>
      <c r="AF533" t="s">
        <v>74</v>
      </c>
      <c r="AG533">
        <v>31</v>
      </c>
      <c r="AH533">
        <v>52</v>
      </c>
      <c r="AI533">
        <v>56</v>
      </c>
      <c r="AJ533">
        <v>1</v>
      </c>
      <c r="AK533">
        <v>10</v>
      </c>
      <c r="AL533" t="s">
        <v>817</v>
      </c>
      <c r="AM533" t="s">
        <v>818</v>
      </c>
      <c r="AN533" t="s">
        <v>819</v>
      </c>
      <c r="AO533" t="s">
        <v>1255</v>
      </c>
      <c r="AP533" t="s">
        <v>74</v>
      </c>
      <c r="AQ533" t="s">
        <v>74</v>
      </c>
      <c r="AR533" t="s">
        <v>1257</v>
      </c>
      <c r="AS533" t="s">
        <v>1258</v>
      </c>
      <c r="AT533" t="s">
        <v>7963</v>
      </c>
      <c r="AU533">
        <v>2006</v>
      </c>
      <c r="AV533">
        <v>53</v>
      </c>
      <c r="AW533">
        <v>12</v>
      </c>
      <c r="AX533" t="s">
        <v>74</v>
      </c>
      <c r="AY533" t="s">
        <v>74</v>
      </c>
      <c r="AZ533" t="s">
        <v>74</v>
      </c>
      <c r="BA533" t="s">
        <v>74</v>
      </c>
      <c r="BB533">
        <v>1989</v>
      </c>
      <c r="BC533">
        <v>2009</v>
      </c>
      <c r="BD533" t="s">
        <v>74</v>
      </c>
      <c r="BE533" t="s">
        <v>8534</v>
      </c>
      <c r="BF533" t="str">
        <f>HYPERLINK("http://dx.doi.org/10.1016/j.dsr.2006.08.013","http://dx.doi.org/10.1016/j.dsr.2006.08.013")</f>
        <v>http://dx.doi.org/10.1016/j.dsr.2006.08.013</v>
      </c>
      <c r="BG533" t="s">
        <v>74</v>
      </c>
      <c r="BH533" t="s">
        <v>74</v>
      </c>
      <c r="BI533">
        <v>21</v>
      </c>
      <c r="BJ533" t="s">
        <v>1260</v>
      </c>
      <c r="BK533" t="s">
        <v>97</v>
      </c>
      <c r="BL533" t="s">
        <v>1260</v>
      </c>
      <c r="BM533" t="s">
        <v>8521</v>
      </c>
      <c r="BN533" t="s">
        <v>74</v>
      </c>
      <c r="BO533" t="s">
        <v>74</v>
      </c>
      <c r="BP533" t="s">
        <v>74</v>
      </c>
      <c r="BQ533" t="s">
        <v>74</v>
      </c>
      <c r="BR533" t="s">
        <v>100</v>
      </c>
      <c r="BS533" t="s">
        <v>8535</v>
      </c>
      <c r="BT533" t="str">
        <f>HYPERLINK("https%3A%2F%2Fwww.webofscience.com%2Fwos%2Fwoscc%2Ffull-record%2FWOS:000243255200009","View Full Record in Web of Science")</f>
        <v>View Full Record in Web of Science</v>
      </c>
    </row>
    <row r="534" spans="1:72" x14ac:dyDescent="0.15">
      <c r="A534" t="s">
        <v>72</v>
      </c>
      <c r="B534" t="s">
        <v>8536</v>
      </c>
      <c r="C534" t="s">
        <v>74</v>
      </c>
      <c r="D534" t="s">
        <v>74</v>
      </c>
      <c r="E534" t="s">
        <v>74</v>
      </c>
      <c r="F534" t="s">
        <v>8537</v>
      </c>
      <c r="G534" t="s">
        <v>74</v>
      </c>
      <c r="H534" t="s">
        <v>74</v>
      </c>
      <c r="I534" t="s">
        <v>8538</v>
      </c>
      <c r="J534" t="s">
        <v>8539</v>
      </c>
      <c r="K534" t="s">
        <v>74</v>
      </c>
      <c r="L534" t="s">
        <v>74</v>
      </c>
      <c r="M534" t="s">
        <v>78</v>
      </c>
      <c r="N534" t="s">
        <v>176</v>
      </c>
      <c r="O534" t="s">
        <v>8540</v>
      </c>
      <c r="P534" t="s">
        <v>8541</v>
      </c>
      <c r="Q534" t="s">
        <v>8542</v>
      </c>
      <c r="R534" t="s">
        <v>74</v>
      </c>
      <c r="S534" t="s">
        <v>74</v>
      </c>
      <c r="T534" t="s">
        <v>74</v>
      </c>
      <c r="U534" t="s">
        <v>8543</v>
      </c>
      <c r="V534" t="s">
        <v>8544</v>
      </c>
      <c r="W534" t="s">
        <v>8545</v>
      </c>
      <c r="X534" t="s">
        <v>8546</v>
      </c>
      <c r="Y534" t="s">
        <v>8547</v>
      </c>
      <c r="Z534" t="s">
        <v>8548</v>
      </c>
      <c r="AA534" t="s">
        <v>8549</v>
      </c>
      <c r="AB534" t="s">
        <v>74</v>
      </c>
      <c r="AC534" t="s">
        <v>74</v>
      </c>
      <c r="AD534" t="s">
        <v>74</v>
      </c>
      <c r="AE534" t="s">
        <v>74</v>
      </c>
      <c r="AF534" t="s">
        <v>74</v>
      </c>
      <c r="AG534">
        <v>10</v>
      </c>
      <c r="AH534">
        <v>1</v>
      </c>
      <c r="AI534">
        <v>1</v>
      </c>
      <c r="AJ534">
        <v>0</v>
      </c>
      <c r="AK534">
        <v>2</v>
      </c>
      <c r="AL534" t="s">
        <v>8550</v>
      </c>
      <c r="AM534" t="s">
        <v>8551</v>
      </c>
      <c r="AN534" t="s">
        <v>8552</v>
      </c>
      <c r="AO534" t="s">
        <v>8553</v>
      </c>
      <c r="AP534" t="s">
        <v>74</v>
      </c>
      <c r="AQ534" t="s">
        <v>74</v>
      </c>
      <c r="AR534" t="s">
        <v>8554</v>
      </c>
      <c r="AS534" t="s">
        <v>8555</v>
      </c>
      <c r="AT534" t="s">
        <v>7963</v>
      </c>
      <c r="AU534">
        <v>2006</v>
      </c>
      <c r="AV534">
        <v>13</v>
      </c>
      <c r="AW534" t="s">
        <v>74</v>
      </c>
      <c r="AX534">
        <v>3</v>
      </c>
      <c r="AY534" t="s">
        <v>888</v>
      </c>
      <c r="AZ534" t="s">
        <v>74</v>
      </c>
      <c r="BA534" t="s">
        <v>74</v>
      </c>
      <c r="BB534">
        <v>1068</v>
      </c>
      <c r="BC534">
        <v>1072</v>
      </c>
      <c r="BD534" t="s">
        <v>74</v>
      </c>
      <c r="BE534" t="s">
        <v>74</v>
      </c>
      <c r="BF534" t="s">
        <v>74</v>
      </c>
      <c r="BG534" t="s">
        <v>74</v>
      </c>
      <c r="BH534" t="s">
        <v>74</v>
      </c>
      <c r="BI534">
        <v>5</v>
      </c>
      <c r="BJ534" t="s">
        <v>8556</v>
      </c>
      <c r="BK534" t="s">
        <v>197</v>
      </c>
      <c r="BL534" t="s">
        <v>8557</v>
      </c>
      <c r="BM534" t="s">
        <v>8558</v>
      </c>
      <c r="BN534" t="s">
        <v>74</v>
      </c>
      <c r="BO534" t="s">
        <v>74</v>
      </c>
      <c r="BP534" t="s">
        <v>74</v>
      </c>
      <c r="BQ534" t="s">
        <v>74</v>
      </c>
      <c r="BR534" t="s">
        <v>100</v>
      </c>
      <c r="BS534" t="s">
        <v>8559</v>
      </c>
      <c r="BT534" t="str">
        <f>HYPERLINK("https%3A%2F%2Fwww.webofscience.com%2Fwos%2Fwoscc%2Ffull-record%2FWOS:000245061700032","View Full Record in Web of Science")</f>
        <v>View Full Record in Web of Science</v>
      </c>
    </row>
    <row r="535" spans="1:72" x14ac:dyDescent="0.15">
      <c r="A535" t="s">
        <v>72</v>
      </c>
      <c r="B535" t="s">
        <v>8560</v>
      </c>
      <c r="C535" t="s">
        <v>74</v>
      </c>
      <c r="D535" t="s">
        <v>74</v>
      </c>
      <c r="E535" t="s">
        <v>74</v>
      </c>
      <c r="F535" t="s">
        <v>8561</v>
      </c>
      <c r="G535" t="s">
        <v>74</v>
      </c>
      <c r="H535" t="s">
        <v>74</v>
      </c>
      <c r="I535" t="s">
        <v>8562</v>
      </c>
      <c r="J535" t="s">
        <v>8563</v>
      </c>
      <c r="K535" t="s">
        <v>74</v>
      </c>
      <c r="L535" t="s">
        <v>74</v>
      </c>
      <c r="M535" t="s">
        <v>78</v>
      </c>
      <c r="N535" t="s">
        <v>79</v>
      </c>
      <c r="O535" t="s">
        <v>74</v>
      </c>
      <c r="P535" t="s">
        <v>74</v>
      </c>
      <c r="Q535" t="s">
        <v>74</v>
      </c>
      <c r="R535" t="s">
        <v>74</v>
      </c>
      <c r="S535" t="s">
        <v>74</v>
      </c>
      <c r="T535" t="s">
        <v>8564</v>
      </c>
      <c r="U535" t="s">
        <v>8565</v>
      </c>
      <c r="V535" t="s">
        <v>8566</v>
      </c>
      <c r="W535" t="s">
        <v>8567</v>
      </c>
      <c r="X535" t="s">
        <v>8568</v>
      </c>
      <c r="Y535" t="s">
        <v>8569</v>
      </c>
      <c r="Z535" t="s">
        <v>8570</v>
      </c>
      <c r="AA535" t="s">
        <v>8571</v>
      </c>
      <c r="AB535" t="s">
        <v>8572</v>
      </c>
      <c r="AC535" t="s">
        <v>74</v>
      </c>
      <c r="AD535" t="s">
        <v>74</v>
      </c>
      <c r="AE535" t="s">
        <v>74</v>
      </c>
      <c r="AF535" t="s">
        <v>74</v>
      </c>
      <c r="AG535">
        <v>99</v>
      </c>
      <c r="AH535">
        <v>119</v>
      </c>
      <c r="AI535">
        <v>132</v>
      </c>
      <c r="AJ535">
        <v>0</v>
      </c>
      <c r="AK535">
        <v>75</v>
      </c>
      <c r="AL535" t="s">
        <v>159</v>
      </c>
      <c r="AM535" t="s">
        <v>160</v>
      </c>
      <c r="AN535" t="s">
        <v>161</v>
      </c>
      <c r="AO535" t="s">
        <v>8573</v>
      </c>
      <c r="AP535" t="s">
        <v>8574</v>
      </c>
      <c r="AQ535" t="s">
        <v>74</v>
      </c>
      <c r="AR535" t="s">
        <v>8563</v>
      </c>
      <c r="AS535" t="s">
        <v>5787</v>
      </c>
      <c r="AT535" t="s">
        <v>7963</v>
      </c>
      <c r="AU535">
        <v>2006</v>
      </c>
      <c r="AV535">
        <v>87</v>
      </c>
      <c r="AW535">
        <v>12</v>
      </c>
      <c r="AX535" t="s">
        <v>74</v>
      </c>
      <c r="AY535" t="s">
        <v>74</v>
      </c>
      <c r="AZ535" t="s">
        <v>74</v>
      </c>
      <c r="BA535" t="s">
        <v>74</v>
      </c>
      <c r="BB535">
        <v>3095</v>
      </c>
      <c r="BC535">
        <v>3108</v>
      </c>
      <c r="BD535" t="s">
        <v>74</v>
      </c>
      <c r="BE535" t="s">
        <v>8575</v>
      </c>
      <c r="BF535" t="str">
        <f>HYPERLINK("http://dx.doi.org/10.1890/0012-9658(2006)87[3095:LMDAHT]2.0.CO;2","http://dx.doi.org/10.1890/0012-9658(2006)87[3095:LMDAHT]2.0.CO;2")</f>
        <v>http://dx.doi.org/10.1890/0012-9658(2006)87[3095:LMDAHT]2.0.CO;2</v>
      </c>
      <c r="BG535" t="s">
        <v>74</v>
      </c>
      <c r="BH535" t="s">
        <v>74</v>
      </c>
      <c r="BI535">
        <v>14</v>
      </c>
      <c r="BJ535" t="s">
        <v>5787</v>
      </c>
      <c r="BK535" t="s">
        <v>97</v>
      </c>
      <c r="BL535" t="s">
        <v>226</v>
      </c>
      <c r="BM535" t="s">
        <v>8576</v>
      </c>
      <c r="BN535">
        <v>17249234</v>
      </c>
      <c r="BO535" t="s">
        <v>124</v>
      </c>
      <c r="BP535" t="s">
        <v>74</v>
      </c>
      <c r="BQ535" t="s">
        <v>74</v>
      </c>
      <c r="BR535" t="s">
        <v>100</v>
      </c>
      <c r="BS535" t="s">
        <v>8577</v>
      </c>
      <c r="BT535" t="str">
        <f>HYPERLINK("https%3A%2F%2Fwww.webofscience.com%2Fwos%2Fwoscc%2Ffull-record%2FWOS:000243094300017","View Full Record in Web of Science")</f>
        <v>View Full Record in Web of Science</v>
      </c>
    </row>
    <row r="536" spans="1:72" x14ac:dyDescent="0.15">
      <c r="A536" t="s">
        <v>72</v>
      </c>
      <c r="B536" t="s">
        <v>8578</v>
      </c>
      <c r="C536" t="s">
        <v>74</v>
      </c>
      <c r="D536" t="s">
        <v>74</v>
      </c>
      <c r="E536" t="s">
        <v>74</v>
      </c>
      <c r="F536" t="s">
        <v>8579</v>
      </c>
      <c r="G536" t="s">
        <v>74</v>
      </c>
      <c r="H536" t="s">
        <v>74</v>
      </c>
      <c r="I536" t="s">
        <v>8580</v>
      </c>
      <c r="J536" t="s">
        <v>8581</v>
      </c>
      <c r="K536" t="s">
        <v>74</v>
      </c>
      <c r="L536" t="s">
        <v>74</v>
      </c>
      <c r="M536" t="s">
        <v>78</v>
      </c>
      <c r="N536" t="s">
        <v>79</v>
      </c>
      <c r="O536" t="s">
        <v>74</v>
      </c>
      <c r="P536" t="s">
        <v>74</v>
      </c>
      <c r="Q536" t="s">
        <v>74</v>
      </c>
      <c r="R536" t="s">
        <v>74</v>
      </c>
      <c r="S536" t="s">
        <v>74</v>
      </c>
      <c r="T536" t="s">
        <v>8582</v>
      </c>
      <c r="U536" t="s">
        <v>8583</v>
      </c>
      <c r="V536" t="s">
        <v>8584</v>
      </c>
      <c r="W536" t="s">
        <v>8585</v>
      </c>
      <c r="X536" t="s">
        <v>8586</v>
      </c>
      <c r="Y536" t="s">
        <v>8587</v>
      </c>
      <c r="Z536" t="s">
        <v>8588</v>
      </c>
      <c r="AA536" t="s">
        <v>74</v>
      </c>
      <c r="AB536" t="s">
        <v>74</v>
      </c>
      <c r="AC536" t="s">
        <v>74</v>
      </c>
      <c r="AD536" t="s">
        <v>74</v>
      </c>
      <c r="AE536" t="s">
        <v>74</v>
      </c>
      <c r="AF536" t="s">
        <v>74</v>
      </c>
      <c r="AG536">
        <v>41</v>
      </c>
      <c r="AH536">
        <v>63</v>
      </c>
      <c r="AI536">
        <v>79</v>
      </c>
      <c r="AJ536">
        <v>0</v>
      </c>
      <c r="AK536">
        <v>20</v>
      </c>
      <c r="AL536" t="s">
        <v>613</v>
      </c>
      <c r="AM536" t="s">
        <v>678</v>
      </c>
      <c r="AN536" t="s">
        <v>4336</v>
      </c>
      <c r="AO536" t="s">
        <v>8589</v>
      </c>
      <c r="AP536" t="s">
        <v>74</v>
      </c>
      <c r="AQ536" t="s">
        <v>74</v>
      </c>
      <c r="AR536" t="s">
        <v>8590</v>
      </c>
      <c r="AS536" t="s">
        <v>8591</v>
      </c>
      <c r="AT536" t="s">
        <v>7963</v>
      </c>
      <c r="AU536">
        <v>2006</v>
      </c>
      <c r="AV536">
        <v>77</v>
      </c>
      <c r="AW536" t="s">
        <v>1283</v>
      </c>
      <c r="AX536" t="s">
        <v>74</v>
      </c>
      <c r="AY536" t="s">
        <v>74</v>
      </c>
      <c r="AZ536" t="s">
        <v>74</v>
      </c>
      <c r="BA536" t="s">
        <v>74</v>
      </c>
      <c r="BB536">
        <v>407</v>
      </c>
      <c r="BC536">
        <v>421</v>
      </c>
      <c r="BD536" t="s">
        <v>74</v>
      </c>
      <c r="BE536" t="s">
        <v>8592</v>
      </c>
      <c r="BF536" t="str">
        <f>HYPERLINK("http://dx.doi.org/10.1007/s10641-006-9109-1","http://dx.doi.org/10.1007/s10641-006-9109-1")</f>
        <v>http://dx.doi.org/10.1007/s10641-006-9109-1</v>
      </c>
      <c r="BG536" t="s">
        <v>74</v>
      </c>
      <c r="BH536" t="s">
        <v>74</v>
      </c>
      <c r="BI536">
        <v>15</v>
      </c>
      <c r="BJ536" t="s">
        <v>4393</v>
      </c>
      <c r="BK536" t="s">
        <v>97</v>
      </c>
      <c r="BL536" t="s">
        <v>198</v>
      </c>
      <c r="BM536" t="s">
        <v>8593</v>
      </c>
      <c r="BN536" t="s">
        <v>74</v>
      </c>
      <c r="BO536" t="s">
        <v>74</v>
      </c>
      <c r="BP536" t="s">
        <v>74</v>
      </c>
      <c r="BQ536" t="s">
        <v>74</v>
      </c>
      <c r="BR536" t="s">
        <v>100</v>
      </c>
      <c r="BS536" t="s">
        <v>8594</v>
      </c>
      <c r="BT536" t="str">
        <f>HYPERLINK("https%3A%2F%2Fwww.webofscience.com%2Fwos%2Fwoscc%2Ffull-record%2FWOS:000242146300018","View Full Record in Web of Science")</f>
        <v>View Full Record in Web of Science</v>
      </c>
    </row>
    <row r="537" spans="1:72" x14ac:dyDescent="0.15">
      <c r="A537" t="s">
        <v>72</v>
      </c>
      <c r="B537" t="s">
        <v>8595</v>
      </c>
      <c r="C537" t="s">
        <v>74</v>
      </c>
      <c r="D537" t="s">
        <v>74</v>
      </c>
      <c r="E537" t="s">
        <v>74</v>
      </c>
      <c r="F537" t="s">
        <v>8596</v>
      </c>
      <c r="G537" t="s">
        <v>74</v>
      </c>
      <c r="H537" t="s">
        <v>74</v>
      </c>
      <c r="I537" t="s">
        <v>8597</v>
      </c>
      <c r="J537" t="s">
        <v>2370</v>
      </c>
      <c r="K537" t="s">
        <v>74</v>
      </c>
      <c r="L537" t="s">
        <v>74</v>
      </c>
      <c r="M537" t="s">
        <v>78</v>
      </c>
      <c r="N537" t="s">
        <v>79</v>
      </c>
      <c r="O537" t="s">
        <v>74</v>
      </c>
      <c r="P537" t="s">
        <v>74</v>
      </c>
      <c r="Q537" t="s">
        <v>74</v>
      </c>
      <c r="R537" t="s">
        <v>74</v>
      </c>
      <c r="S537" t="s">
        <v>74</v>
      </c>
      <c r="T537" t="s">
        <v>74</v>
      </c>
      <c r="U537" t="s">
        <v>8598</v>
      </c>
      <c r="V537" t="s">
        <v>8599</v>
      </c>
      <c r="W537" t="s">
        <v>8600</v>
      </c>
      <c r="X537" t="s">
        <v>8601</v>
      </c>
      <c r="Y537" t="s">
        <v>8602</v>
      </c>
      <c r="Z537" t="s">
        <v>8603</v>
      </c>
      <c r="AA537" t="s">
        <v>8604</v>
      </c>
      <c r="AB537" t="s">
        <v>8605</v>
      </c>
      <c r="AC537" t="s">
        <v>74</v>
      </c>
      <c r="AD537" t="s">
        <v>74</v>
      </c>
      <c r="AE537" t="s">
        <v>74</v>
      </c>
      <c r="AF537" t="s">
        <v>74</v>
      </c>
      <c r="AG537">
        <v>42</v>
      </c>
      <c r="AH537">
        <v>83</v>
      </c>
      <c r="AI537">
        <v>96</v>
      </c>
      <c r="AJ537">
        <v>1</v>
      </c>
      <c r="AK537">
        <v>40</v>
      </c>
      <c r="AL537" t="s">
        <v>159</v>
      </c>
      <c r="AM537" t="s">
        <v>160</v>
      </c>
      <c r="AN537" t="s">
        <v>161</v>
      </c>
      <c r="AO537" t="s">
        <v>2379</v>
      </c>
      <c r="AP537" t="s">
        <v>2380</v>
      </c>
      <c r="AQ537" t="s">
        <v>74</v>
      </c>
      <c r="AR537" t="s">
        <v>2381</v>
      </c>
      <c r="AS537" t="s">
        <v>2382</v>
      </c>
      <c r="AT537" t="s">
        <v>7963</v>
      </c>
      <c r="AU537">
        <v>2006</v>
      </c>
      <c r="AV537">
        <v>8</v>
      </c>
      <c r="AW537">
        <v>12</v>
      </c>
      <c r="AX537" t="s">
        <v>74</v>
      </c>
      <c r="AY537" t="s">
        <v>74</v>
      </c>
      <c r="AZ537" t="s">
        <v>74</v>
      </c>
      <c r="BA537" t="s">
        <v>74</v>
      </c>
      <c r="BB537">
        <v>2150</v>
      </c>
      <c r="BC537">
        <v>2161</v>
      </c>
      <c r="BD537" t="s">
        <v>74</v>
      </c>
      <c r="BE537" t="s">
        <v>8606</v>
      </c>
      <c r="BF537" t="str">
        <f>HYPERLINK("http://dx.doi.org/10.1111/j.1462-2920.2006.01097.x","http://dx.doi.org/10.1111/j.1462-2920.2006.01097.x")</f>
        <v>http://dx.doi.org/10.1111/j.1462-2920.2006.01097.x</v>
      </c>
      <c r="BG537" t="s">
        <v>74</v>
      </c>
      <c r="BH537" t="s">
        <v>74</v>
      </c>
      <c r="BI537">
        <v>12</v>
      </c>
      <c r="BJ537" t="s">
        <v>2384</v>
      </c>
      <c r="BK537" t="s">
        <v>97</v>
      </c>
      <c r="BL537" t="s">
        <v>2384</v>
      </c>
      <c r="BM537" t="s">
        <v>8607</v>
      </c>
      <c r="BN537">
        <v>17107556</v>
      </c>
      <c r="BO537" t="s">
        <v>74</v>
      </c>
      <c r="BP537" t="s">
        <v>74</v>
      </c>
      <c r="BQ537" t="s">
        <v>74</v>
      </c>
      <c r="BR537" t="s">
        <v>100</v>
      </c>
      <c r="BS537" t="s">
        <v>8608</v>
      </c>
      <c r="BT537" t="str">
        <f>HYPERLINK("https%3A%2F%2Fwww.webofscience.com%2Fwos%2Fwoscc%2Ffull-record%2FWOS:000241953300011","View Full Record in Web of Science")</f>
        <v>View Full Record in Web of Science</v>
      </c>
    </row>
    <row r="538" spans="1:72" x14ac:dyDescent="0.15">
      <c r="A538" t="s">
        <v>72</v>
      </c>
      <c r="B538" t="s">
        <v>8609</v>
      </c>
      <c r="C538" t="s">
        <v>74</v>
      </c>
      <c r="D538" t="s">
        <v>74</v>
      </c>
      <c r="E538" t="s">
        <v>74</v>
      </c>
      <c r="F538" t="s">
        <v>8610</v>
      </c>
      <c r="G538" t="s">
        <v>74</v>
      </c>
      <c r="H538" t="s">
        <v>74</v>
      </c>
      <c r="I538" t="s">
        <v>8611</v>
      </c>
      <c r="J538" t="s">
        <v>8612</v>
      </c>
      <c r="K538" t="s">
        <v>74</v>
      </c>
      <c r="L538" t="s">
        <v>74</v>
      </c>
      <c r="M538" t="s">
        <v>78</v>
      </c>
      <c r="N538" t="s">
        <v>79</v>
      </c>
      <c r="O538" t="s">
        <v>74</v>
      </c>
      <c r="P538" t="s">
        <v>74</v>
      </c>
      <c r="Q538" t="s">
        <v>74</v>
      </c>
      <c r="R538" t="s">
        <v>74</v>
      </c>
      <c r="S538" t="s">
        <v>74</v>
      </c>
      <c r="T538" t="s">
        <v>8613</v>
      </c>
      <c r="U538" t="s">
        <v>8614</v>
      </c>
      <c r="V538" t="s">
        <v>8615</v>
      </c>
      <c r="W538" t="s">
        <v>8616</v>
      </c>
      <c r="X538" t="s">
        <v>8617</v>
      </c>
      <c r="Y538" t="s">
        <v>8618</v>
      </c>
      <c r="Z538" t="s">
        <v>8619</v>
      </c>
      <c r="AA538" t="s">
        <v>8620</v>
      </c>
      <c r="AB538" t="s">
        <v>8621</v>
      </c>
      <c r="AC538" t="s">
        <v>74</v>
      </c>
      <c r="AD538" t="s">
        <v>74</v>
      </c>
      <c r="AE538" t="s">
        <v>74</v>
      </c>
      <c r="AF538" t="s">
        <v>74</v>
      </c>
      <c r="AG538">
        <v>20</v>
      </c>
      <c r="AH538">
        <v>13</v>
      </c>
      <c r="AI538">
        <v>15</v>
      </c>
      <c r="AJ538">
        <v>0</v>
      </c>
      <c r="AK538">
        <v>9</v>
      </c>
      <c r="AL538" t="s">
        <v>8622</v>
      </c>
      <c r="AM538" t="s">
        <v>2148</v>
      </c>
      <c r="AN538" t="s">
        <v>8623</v>
      </c>
      <c r="AO538" t="s">
        <v>8624</v>
      </c>
      <c r="AP538" t="s">
        <v>8625</v>
      </c>
      <c r="AQ538" t="s">
        <v>74</v>
      </c>
      <c r="AR538" t="s">
        <v>8612</v>
      </c>
      <c r="AS538" t="s">
        <v>8626</v>
      </c>
      <c r="AT538" t="s">
        <v>7963</v>
      </c>
      <c r="AU538">
        <v>2006</v>
      </c>
      <c r="AV538">
        <v>10</v>
      </c>
      <c r="AW538">
        <v>6</v>
      </c>
      <c r="AX538" t="s">
        <v>74</v>
      </c>
      <c r="AY538" t="s">
        <v>74</v>
      </c>
      <c r="AZ538" t="s">
        <v>74</v>
      </c>
      <c r="BA538" t="s">
        <v>74</v>
      </c>
      <c r="BB538">
        <v>483</v>
      </c>
      <c r="BC538">
        <v>491</v>
      </c>
      <c r="BD538" t="s">
        <v>74</v>
      </c>
      <c r="BE538" t="s">
        <v>8627</v>
      </c>
      <c r="BF538" t="str">
        <f>HYPERLINK("http://dx.doi.org/10.1007/s00792-006-0525-0","http://dx.doi.org/10.1007/s00792-006-0525-0")</f>
        <v>http://dx.doi.org/10.1007/s00792-006-0525-0</v>
      </c>
      <c r="BG538" t="s">
        <v>74</v>
      </c>
      <c r="BH538" t="s">
        <v>74</v>
      </c>
      <c r="BI538">
        <v>9</v>
      </c>
      <c r="BJ538" t="s">
        <v>8628</v>
      </c>
      <c r="BK538" t="s">
        <v>97</v>
      </c>
      <c r="BL538" t="s">
        <v>8628</v>
      </c>
      <c r="BM538" t="s">
        <v>8629</v>
      </c>
      <c r="BN538">
        <v>16791470</v>
      </c>
      <c r="BO538" t="s">
        <v>74</v>
      </c>
      <c r="BP538" t="s">
        <v>74</v>
      </c>
      <c r="BQ538" t="s">
        <v>74</v>
      </c>
      <c r="BR538" t="s">
        <v>100</v>
      </c>
      <c r="BS538" t="s">
        <v>8630</v>
      </c>
      <c r="BT538" t="str">
        <f>HYPERLINK("https%3A%2F%2Fwww.webofscience.com%2Fwos%2Fwoscc%2Ffull-record%2FWOS:000242130200001","View Full Record in Web of Science")</f>
        <v>View Full Record in Web of Science</v>
      </c>
    </row>
    <row r="539" spans="1:72" x14ac:dyDescent="0.15">
      <c r="A539" t="s">
        <v>72</v>
      </c>
      <c r="B539" t="s">
        <v>8631</v>
      </c>
      <c r="C539" t="s">
        <v>74</v>
      </c>
      <c r="D539" t="s">
        <v>74</v>
      </c>
      <c r="E539" t="s">
        <v>74</v>
      </c>
      <c r="F539" t="s">
        <v>8632</v>
      </c>
      <c r="G539" t="s">
        <v>74</v>
      </c>
      <c r="H539" t="s">
        <v>74</v>
      </c>
      <c r="I539" t="s">
        <v>8633</v>
      </c>
      <c r="J539" t="s">
        <v>8612</v>
      </c>
      <c r="K539" t="s">
        <v>74</v>
      </c>
      <c r="L539" t="s">
        <v>74</v>
      </c>
      <c r="M539" t="s">
        <v>78</v>
      </c>
      <c r="N539" t="s">
        <v>79</v>
      </c>
      <c r="O539" t="s">
        <v>74</v>
      </c>
      <c r="P539" t="s">
        <v>74</v>
      </c>
      <c r="Q539" t="s">
        <v>74</v>
      </c>
      <c r="R539" t="s">
        <v>74</v>
      </c>
      <c r="S539" t="s">
        <v>74</v>
      </c>
      <c r="T539" t="s">
        <v>8634</v>
      </c>
      <c r="U539" t="s">
        <v>8635</v>
      </c>
      <c r="V539" t="s">
        <v>8636</v>
      </c>
      <c r="W539" t="s">
        <v>8637</v>
      </c>
      <c r="X539" t="s">
        <v>8638</v>
      </c>
      <c r="Y539" t="s">
        <v>8639</v>
      </c>
      <c r="Z539" t="s">
        <v>8640</v>
      </c>
      <c r="AA539" t="s">
        <v>74</v>
      </c>
      <c r="AB539" t="s">
        <v>8641</v>
      </c>
      <c r="AC539" t="s">
        <v>74</v>
      </c>
      <c r="AD539" t="s">
        <v>74</v>
      </c>
      <c r="AE539" t="s">
        <v>74</v>
      </c>
      <c r="AF539" t="s">
        <v>74</v>
      </c>
      <c r="AG539">
        <v>39</v>
      </c>
      <c r="AH539">
        <v>22</v>
      </c>
      <c r="AI539">
        <v>26</v>
      </c>
      <c r="AJ539">
        <v>0</v>
      </c>
      <c r="AK539">
        <v>16</v>
      </c>
      <c r="AL539" t="s">
        <v>8642</v>
      </c>
      <c r="AM539" t="s">
        <v>2148</v>
      </c>
      <c r="AN539" t="s">
        <v>8643</v>
      </c>
      <c r="AO539" t="s">
        <v>8624</v>
      </c>
      <c r="AP539" t="s">
        <v>74</v>
      </c>
      <c r="AQ539" t="s">
        <v>74</v>
      </c>
      <c r="AR539" t="s">
        <v>8612</v>
      </c>
      <c r="AS539" t="s">
        <v>8626</v>
      </c>
      <c r="AT539" t="s">
        <v>7963</v>
      </c>
      <c r="AU539">
        <v>2006</v>
      </c>
      <c r="AV539">
        <v>10</v>
      </c>
      <c r="AW539">
        <v>6</v>
      </c>
      <c r="AX539" t="s">
        <v>74</v>
      </c>
      <c r="AY539" t="s">
        <v>74</v>
      </c>
      <c r="AZ539" t="s">
        <v>74</v>
      </c>
      <c r="BA539" t="s">
        <v>74</v>
      </c>
      <c r="BB539">
        <v>515</v>
      </c>
      <c r="BC539">
        <v>524</v>
      </c>
      <c r="BD539" t="s">
        <v>74</v>
      </c>
      <c r="BE539" t="s">
        <v>8644</v>
      </c>
      <c r="BF539" t="str">
        <f>HYPERLINK("http://dx.doi.org/10.1007/s00792-006-0526-z","http://dx.doi.org/10.1007/s00792-006-0526-z")</f>
        <v>http://dx.doi.org/10.1007/s00792-006-0526-z</v>
      </c>
      <c r="BG539" t="s">
        <v>74</v>
      </c>
      <c r="BH539" t="s">
        <v>74</v>
      </c>
      <c r="BI539">
        <v>10</v>
      </c>
      <c r="BJ539" t="s">
        <v>8628</v>
      </c>
      <c r="BK539" t="s">
        <v>97</v>
      </c>
      <c r="BL539" t="s">
        <v>8628</v>
      </c>
      <c r="BM539" t="s">
        <v>8629</v>
      </c>
      <c r="BN539">
        <v>16736094</v>
      </c>
      <c r="BO539" t="s">
        <v>74</v>
      </c>
      <c r="BP539" t="s">
        <v>74</v>
      </c>
      <c r="BQ539" t="s">
        <v>74</v>
      </c>
      <c r="BR539" t="s">
        <v>100</v>
      </c>
      <c r="BS539" t="s">
        <v>8645</v>
      </c>
      <c r="BT539" t="str">
        <f>HYPERLINK("https%3A%2F%2Fwww.webofscience.com%2Fwos%2Fwoscc%2Ffull-record%2FWOS:000242130200004","View Full Record in Web of Science")</f>
        <v>View Full Record in Web of Science</v>
      </c>
    </row>
    <row r="540" spans="1:72" x14ac:dyDescent="0.15">
      <c r="A540" t="s">
        <v>72</v>
      </c>
      <c r="B540" t="s">
        <v>8646</v>
      </c>
      <c r="C540" t="s">
        <v>74</v>
      </c>
      <c r="D540" t="s">
        <v>74</v>
      </c>
      <c r="E540" t="s">
        <v>74</v>
      </c>
      <c r="F540" t="s">
        <v>8647</v>
      </c>
      <c r="G540" t="s">
        <v>74</v>
      </c>
      <c r="H540" t="s">
        <v>74</v>
      </c>
      <c r="I540" t="s">
        <v>8648</v>
      </c>
      <c r="J540" t="s">
        <v>8612</v>
      </c>
      <c r="K540" t="s">
        <v>74</v>
      </c>
      <c r="L540" t="s">
        <v>74</v>
      </c>
      <c r="M540" t="s">
        <v>78</v>
      </c>
      <c r="N540" t="s">
        <v>79</v>
      </c>
      <c r="O540" t="s">
        <v>74</v>
      </c>
      <c r="P540" t="s">
        <v>74</v>
      </c>
      <c r="Q540" t="s">
        <v>74</v>
      </c>
      <c r="R540" t="s">
        <v>74</v>
      </c>
      <c r="S540" t="s">
        <v>74</v>
      </c>
      <c r="T540" t="s">
        <v>8649</v>
      </c>
      <c r="U540" t="s">
        <v>8650</v>
      </c>
      <c r="V540" t="s">
        <v>8651</v>
      </c>
      <c r="W540" t="s">
        <v>8652</v>
      </c>
      <c r="X540" t="s">
        <v>8653</v>
      </c>
      <c r="Y540" t="s">
        <v>8654</v>
      </c>
      <c r="Z540" t="s">
        <v>8655</v>
      </c>
      <c r="AA540" t="s">
        <v>74</v>
      </c>
      <c r="AB540" t="s">
        <v>8656</v>
      </c>
      <c r="AC540" t="s">
        <v>74</v>
      </c>
      <c r="AD540" t="s">
        <v>74</v>
      </c>
      <c r="AE540" t="s">
        <v>74</v>
      </c>
      <c r="AF540" t="s">
        <v>74</v>
      </c>
      <c r="AG540">
        <v>52</v>
      </c>
      <c r="AH540">
        <v>17</v>
      </c>
      <c r="AI540">
        <v>23</v>
      </c>
      <c r="AJ540">
        <v>0</v>
      </c>
      <c r="AK540">
        <v>7</v>
      </c>
      <c r="AL540" t="s">
        <v>8622</v>
      </c>
      <c r="AM540" t="s">
        <v>2148</v>
      </c>
      <c r="AN540" t="s">
        <v>8623</v>
      </c>
      <c r="AO540" t="s">
        <v>8624</v>
      </c>
      <c r="AP540" t="s">
        <v>8625</v>
      </c>
      <c r="AQ540" t="s">
        <v>74</v>
      </c>
      <c r="AR540" t="s">
        <v>8612</v>
      </c>
      <c r="AS540" t="s">
        <v>8626</v>
      </c>
      <c r="AT540" t="s">
        <v>7963</v>
      </c>
      <c r="AU540">
        <v>2006</v>
      </c>
      <c r="AV540">
        <v>10</v>
      </c>
      <c r="AW540">
        <v>6</v>
      </c>
      <c r="AX540" t="s">
        <v>74</v>
      </c>
      <c r="AY540" t="s">
        <v>74</v>
      </c>
      <c r="AZ540" t="s">
        <v>74</v>
      </c>
      <c r="BA540" t="s">
        <v>74</v>
      </c>
      <c r="BB540">
        <v>537</v>
      </c>
      <c r="BC540">
        <v>549</v>
      </c>
      <c r="BD540" t="s">
        <v>74</v>
      </c>
      <c r="BE540" t="s">
        <v>8657</v>
      </c>
      <c r="BF540" t="str">
        <f>HYPERLINK("http://dx.doi.org/10.1007/s00792-006-0528-x","http://dx.doi.org/10.1007/s00792-006-0528-x")</f>
        <v>http://dx.doi.org/10.1007/s00792-006-0528-x</v>
      </c>
      <c r="BG540" t="s">
        <v>74</v>
      </c>
      <c r="BH540" t="s">
        <v>74</v>
      </c>
      <c r="BI540">
        <v>13</v>
      </c>
      <c r="BJ540" t="s">
        <v>8628</v>
      </c>
      <c r="BK540" t="s">
        <v>97</v>
      </c>
      <c r="BL540" t="s">
        <v>8628</v>
      </c>
      <c r="BM540" t="s">
        <v>8629</v>
      </c>
      <c r="BN540">
        <v>16770691</v>
      </c>
      <c r="BO540" t="s">
        <v>74</v>
      </c>
      <c r="BP540" t="s">
        <v>74</v>
      </c>
      <c r="BQ540" t="s">
        <v>74</v>
      </c>
      <c r="BR540" t="s">
        <v>100</v>
      </c>
      <c r="BS540" t="s">
        <v>8658</v>
      </c>
      <c r="BT540" t="str">
        <f>HYPERLINK("https%3A%2F%2Fwww.webofscience.com%2Fwos%2Fwoscc%2Ffull-record%2FWOS:000242130200007","View Full Record in Web of Science")</f>
        <v>View Full Record in Web of Science</v>
      </c>
    </row>
    <row r="541" spans="1:72" x14ac:dyDescent="0.15">
      <c r="A541" t="s">
        <v>72</v>
      </c>
      <c r="B541" t="s">
        <v>8659</v>
      </c>
      <c r="C541" t="s">
        <v>74</v>
      </c>
      <c r="D541" t="s">
        <v>74</v>
      </c>
      <c r="E541" t="s">
        <v>74</v>
      </c>
      <c r="F541" t="s">
        <v>8660</v>
      </c>
      <c r="G541" t="s">
        <v>74</v>
      </c>
      <c r="H541" t="s">
        <v>74</v>
      </c>
      <c r="I541" t="s">
        <v>8661</v>
      </c>
      <c r="J541" t="s">
        <v>7231</v>
      </c>
      <c r="K541" t="s">
        <v>74</v>
      </c>
      <c r="L541" t="s">
        <v>74</v>
      </c>
      <c r="M541" t="s">
        <v>78</v>
      </c>
      <c r="N541" t="s">
        <v>79</v>
      </c>
      <c r="O541" t="s">
        <v>74</v>
      </c>
      <c r="P541" t="s">
        <v>74</v>
      </c>
      <c r="Q541" t="s">
        <v>74</v>
      </c>
      <c r="R541" t="s">
        <v>74</v>
      </c>
      <c r="S541" t="s">
        <v>74</v>
      </c>
      <c r="T541" t="s">
        <v>8662</v>
      </c>
      <c r="U541" t="s">
        <v>8663</v>
      </c>
      <c r="V541" t="s">
        <v>8664</v>
      </c>
      <c r="W541" t="s">
        <v>8665</v>
      </c>
      <c r="X541" t="s">
        <v>8666</v>
      </c>
      <c r="Y541" t="s">
        <v>8667</v>
      </c>
      <c r="Z541" t="s">
        <v>8668</v>
      </c>
      <c r="AA541" t="s">
        <v>8669</v>
      </c>
      <c r="AB541" t="s">
        <v>8670</v>
      </c>
      <c r="AC541" t="s">
        <v>74</v>
      </c>
      <c r="AD541" t="s">
        <v>74</v>
      </c>
      <c r="AE541" t="s">
        <v>74</v>
      </c>
      <c r="AF541" t="s">
        <v>74</v>
      </c>
      <c r="AG541">
        <v>84</v>
      </c>
      <c r="AH541">
        <v>39</v>
      </c>
      <c r="AI541">
        <v>42</v>
      </c>
      <c r="AJ541">
        <v>2</v>
      </c>
      <c r="AK541">
        <v>33</v>
      </c>
      <c r="AL541" t="s">
        <v>7239</v>
      </c>
      <c r="AM541" t="s">
        <v>5498</v>
      </c>
      <c r="AN541" t="s">
        <v>7240</v>
      </c>
      <c r="AO541" t="s">
        <v>74</v>
      </c>
      <c r="AP541" t="s">
        <v>7241</v>
      </c>
      <c r="AQ541" t="s">
        <v>74</v>
      </c>
      <c r="AR541" t="s">
        <v>7242</v>
      </c>
      <c r="AS541" t="s">
        <v>7243</v>
      </c>
      <c r="AT541" t="s">
        <v>8268</v>
      </c>
      <c r="AU541">
        <v>2006</v>
      </c>
      <c r="AV541">
        <v>7</v>
      </c>
      <c r="AW541" t="s">
        <v>74</v>
      </c>
      <c r="AX541" t="s">
        <v>74</v>
      </c>
      <c r="AY541" t="s">
        <v>74</v>
      </c>
      <c r="AZ541" t="s">
        <v>74</v>
      </c>
      <c r="BA541" t="s">
        <v>74</v>
      </c>
      <c r="BB541" t="s">
        <v>74</v>
      </c>
      <c r="BC541" t="s">
        <v>74</v>
      </c>
      <c r="BD541" t="s">
        <v>8671</v>
      </c>
      <c r="BE541" t="s">
        <v>8672</v>
      </c>
      <c r="BF541" t="str">
        <f>HYPERLINK("http://dx.doi.org/10.1029/2006GC001307","http://dx.doi.org/10.1029/2006GC001307")</f>
        <v>http://dx.doi.org/10.1029/2006GC001307</v>
      </c>
      <c r="BG541" t="s">
        <v>74</v>
      </c>
      <c r="BH541" t="s">
        <v>74</v>
      </c>
      <c r="BI541">
        <v>15</v>
      </c>
      <c r="BJ541" t="s">
        <v>865</v>
      </c>
      <c r="BK541" t="s">
        <v>97</v>
      </c>
      <c r="BL541" t="s">
        <v>865</v>
      </c>
      <c r="BM541" t="s">
        <v>8673</v>
      </c>
      <c r="BN541" t="s">
        <v>74</v>
      </c>
      <c r="BO541" t="s">
        <v>1314</v>
      </c>
      <c r="BP541" t="s">
        <v>74</v>
      </c>
      <c r="BQ541" t="s">
        <v>74</v>
      </c>
      <c r="BR541" t="s">
        <v>100</v>
      </c>
      <c r="BS541" t="s">
        <v>8674</v>
      </c>
      <c r="BT541" t="str">
        <f>HYPERLINK("https%3A%2F%2Fwww.webofscience.com%2Fwos%2Fwoscc%2Ffull-record%2FWOS:000242738400001","View Full Record in Web of Science")</f>
        <v>View Full Record in Web of Science</v>
      </c>
    </row>
    <row r="542" spans="1:72" x14ac:dyDescent="0.15">
      <c r="A542" t="s">
        <v>72</v>
      </c>
      <c r="B542" t="s">
        <v>8675</v>
      </c>
      <c r="C542" t="s">
        <v>74</v>
      </c>
      <c r="D542" t="s">
        <v>74</v>
      </c>
      <c r="E542" t="s">
        <v>74</v>
      </c>
      <c r="F542" t="s">
        <v>8676</v>
      </c>
      <c r="G542" t="s">
        <v>74</v>
      </c>
      <c r="H542" t="s">
        <v>74</v>
      </c>
      <c r="I542" t="s">
        <v>8677</v>
      </c>
      <c r="J542" t="s">
        <v>8678</v>
      </c>
      <c r="K542" t="s">
        <v>74</v>
      </c>
      <c r="L542" t="s">
        <v>74</v>
      </c>
      <c r="M542" t="s">
        <v>78</v>
      </c>
      <c r="N542" t="s">
        <v>79</v>
      </c>
      <c r="O542" t="s">
        <v>74</v>
      </c>
      <c r="P542" t="s">
        <v>74</v>
      </c>
      <c r="Q542" t="s">
        <v>74</v>
      </c>
      <c r="R542" t="s">
        <v>74</v>
      </c>
      <c r="S542" t="s">
        <v>74</v>
      </c>
      <c r="T542" t="s">
        <v>8679</v>
      </c>
      <c r="U542" t="s">
        <v>8680</v>
      </c>
      <c r="V542" t="s">
        <v>8681</v>
      </c>
      <c r="W542" t="s">
        <v>8682</v>
      </c>
      <c r="X542" t="s">
        <v>8683</v>
      </c>
      <c r="Y542" t="s">
        <v>8684</v>
      </c>
      <c r="Z542" t="s">
        <v>8685</v>
      </c>
      <c r="AA542" t="s">
        <v>8686</v>
      </c>
      <c r="AB542" t="s">
        <v>8687</v>
      </c>
      <c r="AC542" t="s">
        <v>74</v>
      </c>
      <c r="AD542" t="s">
        <v>74</v>
      </c>
      <c r="AE542" t="s">
        <v>74</v>
      </c>
      <c r="AF542" t="s">
        <v>74</v>
      </c>
      <c r="AG542">
        <v>48</v>
      </c>
      <c r="AH542">
        <v>27</v>
      </c>
      <c r="AI542">
        <v>30</v>
      </c>
      <c r="AJ542">
        <v>2</v>
      </c>
      <c r="AK542">
        <v>12</v>
      </c>
      <c r="AL542" t="s">
        <v>8688</v>
      </c>
      <c r="AM542" t="s">
        <v>1112</v>
      </c>
      <c r="AN542" t="s">
        <v>8689</v>
      </c>
      <c r="AO542" t="s">
        <v>8690</v>
      </c>
      <c r="AP542" t="s">
        <v>8691</v>
      </c>
      <c r="AQ542" t="s">
        <v>74</v>
      </c>
      <c r="AR542" t="s">
        <v>8678</v>
      </c>
      <c r="AS542" t="s">
        <v>642</v>
      </c>
      <c r="AT542" t="s">
        <v>7963</v>
      </c>
      <c r="AU542">
        <v>2006</v>
      </c>
      <c r="AV542">
        <v>34</v>
      </c>
      <c r="AW542">
        <v>12</v>
      </c>
      <c r="AX542" t="s">
        <v>74</v>
      </c>
      <c r="AY542" t="s">
        <v>74</v>
      </c>
      <c r="AZ542" t="s">
        <v>74</v>
      </c>
      <c r="BA542" t="s">
        <v>74</v>
      </c>
      <c r="BB542">
        <v>1041</v>
      </c>
      <c r="BC542">
        <v>1044</v>
      </c>
      <c r="BD542" t="s">
        <v>74</v>
      </c>
      <c r="BE542" t="s">
        <v>8692</v>
      </c>
      <c r="BF542" t="str">
        <f>HYPERLINK("http://dx.doi.org/10.1130/G23038A.1","http://dx.doi.org/10.1130/G23038A.1")</f>
        <v>http://dx.doi.org/10.1130/G23038A.1</v>
      </c>
      <c r="BG542" t="s">
        <v>74</v>
      </c>
      <c r="BH542" t="s">
        <v>74</v>
      </c>
      <c r="BI542">
        <v>4</v>
      </c>
      <c r="BJ542" t="s">
        <v>642</v>
      </c>
      <c r="BK542" t="s">
        <v>97</v>
      </c>
      <c r="BL542" t="s">
        <v>642</v>
      </c>
      <c r="BM542" t="s">
        <v>8693</v>
      </c>
      <c r="BN542" t="s">
        <v>74</v>
      </c>
      <c r="BO542" t="s">
        <v>74</v>
      </c>
      <c r="BP542" t="s">
        <v>74</v>
      </c>
      <c r="BQ542" t="s">
        <v>74</v>
      </c>
      <c r="BR542" t="s">
        <v>100</v>
      </c>
      <c r="BS542" t="s">
        <v>8694</v>
      </c>
      <c r="BT542" t="str">
        <f>HYPERLINK("https%3A%2F%2Fwww.webofscience.com%2Fwos%2Fwoscc%2Ffull-record%2FWOS:000242630000013","View Full Record in Web of Science")</f>
        <v>View Full Record in Web of Science</v>
      </c>
    </row>
    <row r="543" spans="1:72" x14ac:dyDescent="0.15">
      <c r="A543" t="s">
        <v>72</v>
      </c>
      <c r="B543" t="s">
        <v>8695</v>
      </c>
      <c r="C543" t="s">
        <v>74</v>
      </c>
      <c r="D543" t="s">
        <v>74</v>
      </c>
      <c r="E543" t="s">
        <v>74</v>
      </c>
      <c r="F543" t="s">
        <v>8696</v>
      </c>
      <c r="G543" t="s">
        <v>74</v>
      </c>
      <c r="H543" t="s">
        <v>74</v>
      </c>
      <c r="I543" t="s">
        <v>8697</v>
      </c>
      <c r="J543" t="s">
        <v>8698</v>
      </c>
      <c r="K543" t="s">
        <v>74</v>
      </c>
      <c r="L543" t="s">
        <v>74</v>
      </c>
      <c r="M543" t="s">
        <v>78</v>
      </c>
      <c r="N543" t="s">
        <v>79</v>
      </c>
      <c r="O543" t="s">
        <v>74</v>
      </c>
      <c r="P543" t="s">
        <v>74</v>
      </c>
      <c r="Q543" t="s">
        <v>74</v>
      </c>
      <c r="R543" t="s">
        <v>74</v>
      </c>
      <c r="S543" t="s">
        <v>74</v>
      </c>
      <c r="T543" t="s">
        <v>74</v>
      </c>
      <c r="U543" t="s">
        <v>74</v>
      </c>
      <c r="V543" t="s">
        <v>8699</v>
      </c>
      <c r="W543" t="s">
        <v>8700</v>
      </c>
      <c r="X543" t="s">
        <v>74</v>
      </c>
      <c r="Y543" t="s">
        <v>8701</v>
      </c>
      <c r="Z543" t="s">
        <v>74</v>
      </c>
      <c r="AA543" t="s">
        <v>8702</v>
      </c>
      <c r="AB543" t="s">
        <v>74</v>
      </c>
      <c r="AC543" t="s">
        <v>74</v>
      </c>
      <c r="AD543" t="s">
        <v>74</v>
      </c>
      <c r="AE543" t="s">
        <v>74</v>
      </c>
      <c r="AF543" t="s">
        <v>74</v>
      </c>
      <c r="AG543">
        <v>5</v>
      </c>
      <c r="AH543">
        <v>0</v>
      </c>
      <c r="AI543">
        <v>0</v>
      </c>
      <c r="AJ543">
        <v>0</v>
      </c>
      <c r="AK543">
        <v>2</v>
      </c>
      <c r="AL543" t="s">
        <v>6640</v>
      </c>
      <c r="AM543" t="s">
        <v>678</v>
      </c>
      <c r="AN543" t="s">
        <v>6641</v>
      </c>
      <c r="AO543" t="s">
        <v>8703</v>
      </c>
      <c r="AP543" t="s">
        <v>8704</v>
      </c>
      <c r="AQ543" t="s">
        <v>74</v>
      </c>
      <c r="AR543" t="s">
        <v>8705</v>
      </c>
      <c r="AS543" t="s">
        <v>8706</v>
      </c>
      <c r="AT543" t="s">
        <v>7963</v>
      </c>
      <c r="AU543">
        <v>2006</v>
      </c>
      <c r="AV543">
        <v>46</v>
      </c>
      <c r="AW543">
        <v>6</v>
      </c>
      <c r="AX543" t="s">
        <v>74</v>
      </c>
      <c r="AY543" t="s">
        <v>74</v>
      </c>
      <c r="AZ543" t="s">
        <v>74</v>
      </c>
      <c r="BA543" t="s">
        <v>74</v>
      </c>
      <c r="BB543">
        <v>765</v>
      </c>
      <c r="BC543">
        <v>769</v>
      </c>
      <c r="BD543" t="s">
        <v>74</v>
      </c>
      <c r="BE543" t="s">
        <v>8707</v>
      </c>
      <c r="BF543" t="str">
        <f>HYPERLINK("http://dx.doi.org/10.1134/S0016793206060120","http://dx.doi.org/10.1134/S0016793206060120")</f>
        <v>http://dx.doi.org/10.1134/S0016793206060120</v>
      </c>
      <c r="BG543" t="s">
        <v>74</v>
      </c>
      <c r="BH543" t="s">
        <v>74</v>
      </c>
      <c r="BI543">
        <v>5</v>
      </c>
      <c r="BJ543" t="s">
        <v>865</v>
      </c>
      <c r="BK543" t="s">
        <v>97</v>
      </c>
      <c r="BL543" t="s">
        <v>865</v>
      </c>
      <c r="BM543" t="s">
        <v>8708</v>
      </c>
      <c r="BN543" t="s">
        <v>74</v>
      </c>
      <c r="BO543" t="s">
        <v>74</v>
      </c>
      <c r="BP543" t="s">
        <v>74</v>
      </c>
      <c r="BQ543" t="s">
        <v>74</v>
      </c>
      <c r="BR543" t="s">
        <v>100</v>
      </c>
      <c r="BS543" t="s">
        <v>8709</v>
      </c>
      <c r="BT543" t="str">
        <f>HYPERLINK("https%3A%2F%2Fwww.webofscience.com%2Fwos%2Fwoscc%2Ffull-record%2FWOS:000244578600012","View Full Record in Web of Science")</f>
        <v>View Full Record in Web of Science</v>
      </c>
    </row>
    <row r="544" spans="1:72" x14ac:dyDescent="0.15">
      <c r="A544" t="s">
        <v>72</v>
      </c>
      <c r="B544" t="s">
        <v>8710</v>
      </c>
      <c r="C544" t="s">
        <v>74</v>
      </c>
      <c r="D544" t="s">
        <v>74</v>
      </c>
      <c r="E544" t="s">
        <v>74</v>
      </c>
      <c r="F544" t="s">
        <v>8711</v>
      </c>
      <c r="G544" t="s">
        <v>74</v>
      </c>
      <c r="H544" t="s">
        <v>74</v>
      </c>
      <c r="I544" t="s">
        <v>8712</v>
      </c>
      <c r="J544" t="s">
        <v>8713</v>
      </c>
      <c r="K544" t="s">
        <v>74</v>
      </c>
      <c r="L544" t="s">
        <v>74</v>
      </c>
      <c r="M544" t="s">
        <v>78</v>
      </c>
      <c r="N544" t="s">
        <v>79</v>
      </c>
      <c r="O544" t="s">
        <v>74</v>
      </c>
      <c r="P544" t="s">
        <v>74</v>
      </c>
      <c r="Q544" t="s">
        <v>74</v>
      </c>
      <c r="R544" t="s">
        <v>74</v>
      </c>
      <c r="S544" t="s">
        <v>74</v>
      </c>
      <c r="T544" t="s">
        <v>8714</v>
      </c>
      <c r="U544" t="s">
        <v>8715</v>
      </c>
      <c r="V544" t="s">
        <v>8716</v>
      </c>
      <c r="W544" t="s">
        <v>8717</v>
      </c>
      <c r="X544" t="s">
        <v>8718</v>
      </c>
      <c r="Y544" t="s">
        <v>8719</v>
      </c>
      <c r="Z544" t="s">
        <v>8720</v>
      </c>
      <c r="AA544" t="s">
        <v>8721</v>
      </c>
      <c r="AB544" t="s">
        <v>8722</v>
      </c>
      <c r="AC544" t="s">
        <v>74</v>
      </c>
      <c r="AD544" t="s">
        <v>74</v>
      </c>
      <c r="AE544" t="s">
        <v>74</v>
      </c>
      <c r="AF544" t="s">
        <v>74</v>
      </c>
      <c r="AG544">
        <v>62</v>
      </c>
      <c r="AH544">
        <v>44</v>
      </c>
      <c r="AI544">
        <v>48</v>
      </c>
      <c r="AJ544">
        <v>1</v>
      </c>
      <c r="AK544">
        <v>18</v>
      </c>
      <c r="AL544" t="s">
        <v>5744</v>
      </c>
      <c r="AM544" t="s">
        <v>818</v>
      </c>
      <c r="AN544" t="s">
        <v>5745</v>
      </c>
      <c r="AO544" t="s">
        <v>8723</v>
      </c>
      <c r="AP544" t="s">
        <v>74</v>
      </c>
      <c r="AQ544" t="s">
        <v>74</v>
      </c>
      <c r="AR544" t="s">
        <v>8724</v>
      </c>
      <c r="AS544" t="s">
        <v>8725</v>
      </c>
      <c r="AT544" t="s">
        <v>7963</v>
      </c>
      <c r="AU544">
        <v>2006</v>
      </c>
      <c r="AV544">
        <v>12</v>
      </c>
      <c r="AW544">
        <v>12</v>
      </c>
      <c r="AX544" t="s">
        <v>74</v>
      </c>
      <c r="AY544" t="s">
        <v>74</v>
      </c>
      <c r="AZ544" t="s">
        <v>74</v>
      </c>
      <c r="BA544" t="s">
        <v>74</v>
      </c>
      <c r="BB544">
        <v>2282</v>
      </c>
      <c r="BC544">
        <v>2296</v>
      </c>
      <c r="BD544" t="s">
        <v>74</v>
      </c>
      <c r="BE544" t="s">
        <v>8726</v>
      </c>
      <c r="BF544" t="str">
        <f>HYPERLINK("http://dx.doi.org/10.1111/j.1365-2486.2006.01283.x","http://dx.doi.org/10.1111/j.1365-2486.2006.01283.x")</f>
        <v>http://dx.doi.org/10.1111/j.1365-2486.2006.01283.x</v>
      </c>
      <c r="BG544" t="s">
        <v>74</v>
      </c>
      <c r="BH544" t="s">
        <v>74</v>
      </c>
      <c r="BI544">
        <v>15</v>
      </c>
      <c r="BJ544" t="s">
        <v>8469</v>
      </c>
      <c r="BK544" t="s">
        <v>97</v>
      </c>
      <c r="BL544" t="s">
        <v>5603</v>
      </c>
      <c r="BM544" t="s">
        <v>8727</v>
      </c>
      <c r="BN544" t="s">
        <v>74</v>
      </c>
      <c r="BO544" t="s">
        <v>74</v>
      </c>
      <c r="BP544" t="s">
        <v>74</v>
      </c>
      <c r="BQ544" t="s">
        <v>74</v>
      </c>
      <c r="BR544" t="s">
        <v>100</v>
      </c>
      <c r="BS544" t="s">
        <v>8728</v>
      </c>
      <c r="BT544" t="str">
        <f>HYPERLINK("https%3A%2F%2Fwww.webofscience.com%2Fwos%2Fwoscc%2Ffull-record%2FWOS:000242659400005","View Full Record in Web of Science")</f>
        <v>View Full Record in Web of Science</v>
      </c>
    </row>
    <row r="545" spans="1:72" x14ac:dyDescent="0.15">
      <c r="A545" t="s">
        <v>72</v>
      </c>
      <c r="B545" t="s">
        <v>8729</v>
      </c>
      <c r="C545" t="s">
        <v>74</v>
      </c>
      <c r="D545" t="s">
        <v>74</v>
      </c>
      <c r="E545" t="s">
        <v>74</v>
      </c>
      <c r="F545" t="s">
        <v>8730</v>
      </c>
      <c r="G545" t="s">
        <v>74</v>
      </c>
      <c r="H545" t="s">
        <v>74</v>
      </c>
      <c r="I545" t="s">
        <v>8731</v>
      </c>
      <c r="J545" t="s">
        <v>8732</v>
      </c>
      <c r="K545" t="s">
        <v>74</v>
      </c>
      <c r="L545" t="s">
        <v>74</v>
      </c>
      <c r="M545" t="s">
        <v>78</v>
      </c>
      <c r="N545" t="s">
        <v>52</v>
      </c>
      <c r="O545" t="s">
        <v>74</v>
      </c>
      <c r="P545" t="s">
        <v>74</v>
      </c>
      <c r="Q545" t="s">
        <v>74</v>
      </c>
      <c r="R545" t="s">
        <v>74</v>
      </c>
      <c r="S545" t="s">
        <v>74</v>
      </c>
      <c r="T545" t="s">
        <v>74</v>
      </c>
      <c r="U545" t="s">
        <v>74</v>
      </c>
      <c r="V545" t="s">
        <v>74</v>
      </c>
      <c r="W545" t="s">
        <v>8733</v>
      </c>
      <c r="X545" t="s">
        <v>8734</v>
      </c>
      <c r="Y545" t="s">
        <v>74</v>
      </c>
      <c r="Z545" t="s">
        <v>8735</v>
      </c>
      <c r="AA545" t="s">
        <v>8736</v>
      </c>
      <c r="AB545" t="s">
        <v>8737</v>
      </c>
      <c r="AC545" t="s">
        <v>74</v>
      </c>
      <c r="AD545" t="s">
        <v>74</v>
      </c>
      <c r="AE545" t="s">
        <v>74</v>
      </c>
      <c r="AF545" t="s">
        <v>74</v>
      </c>
      <c r="AG545">
        <v>0</v>
      </c>
      <c r="AH545">
        <v>0</v>
      </c>
      <c r="AI545">
        <v>0</v>
      </c>
      <c r="AJ545">
        <v>0</v>
      </c>
      <c r="AK545">
        <v>0</v>
      </c>
      <c r="AL545" t="s">
        <v>8738</v>
      </c>
      <c r="AM545" t="s">
        <v>8739</v>
      </c>
      <c r="AN545" t="s">
        <v>8740</v>
      </c>
      <c r="AO545" t="s">
        <v>8741</v>
      </c>
      <c r="AP545" t="s">
        <v>8742</v>
      </c>
      <c r="AQ545" t="s">
        <v>74</v>
      </c>
      <c r="AR545" t="s">
        <v>8743</v>
      </c>
      <c r="AS545" t="s">
        <v>8744</v>
      </c>
      <c r="AT545" t="s">
        <v>7963</v>
      </c>
      <c r="AU545">
        <v>2006</v>
      </c>
      <c r="AV545">
        <v>46</v>
      </c>
      <c r="AW545" t="s">
        <v>74</v>
      </c>
      <c r="AX545" t="s">
        <v>74</v>
      </c>
      <c r="AY545">
        <v>1</v>
      </c>
      <c r="AZ545" t="s">
        <v>74</v>
      </c>
      <c r="BA545" t="s">
        <v>74</v>
      </c>
      <c r="BB545" t="s">
        <v>8745</v>
      </c>
      <c r="BC545" t="s">
        <v>8745</v>
      </c>
      <c r="BD545" t="s">
        <v>74</v>
      </c>
      <c r="BE545" t="s">
        <v>74</v>
      </c>
      <c r="BF545" t="s">
        <v>74</v>
      </c>
      <c r="BG545" t="s">
        <v>74</v>
      </c>
      <c r="BH545" t="s">
        <v>74</v>
      </c>
      <c r="BI545">
        <v>1</v>
      </c>
      <c r="BJ545" t="s">
        <v>596</v>
      </c>
      <c r="BK545" t="s">
        <v>97</v>
      </c>
      <c r="BL545" t="s">
        <v>596</v>
      </c>
      <c r="BM545" t="s">
        <v>8746</v>
      </c>
      <c r="BN545" t="s">
        <v>74</v>
      </c>
      <c r="BO545" t="s">
        <v>74</v>
      </c>
      <c r="BP545" t="s">
        <v>74</v>
      </c>
      <c r="BQ545" t="s">
        <v>74</v>
      </c>
      <c r="BR545" t="s">
        <v>100</v>
      </c>
      <c r="BS545" t="s">
        <v>8747</v>
      </c>
      <c r="BT545" t="str">
        <f>HYPERLINK("https%3A%2F%2Fwww.webofscience.com%2Fwos%2Fwoscc%2Ffull-record%2FWOS:000202970100258","View Full Record in Web of Science")</f>
        <v>View Full Record in Web of Science</v>
      </c>
    </row>
    <row r="546" spans="1:72" x14ac:dyDescent="0.15">
      <c r="A546" t="s">
        <v>72</v>
      </c>
      <c r="B546" t="s">
        <v>8748</v>
      </c>
      <c r="C546" t="s">
        <v>74</v>
      </c>
      <c r="D546" t="s">
        <v>74</v>
      </c>
      <c r="E546" t="s">
        <v>74</v>
      </c>
      <c r="F546" t="s">
        <v>8749</v>
      </c>
      <c r="G546" t="s">
        <v>74</v>
      </c>
      <c r="H546" t="s">
        <v>74</v>
      </c>
      <c r="I546" t="s">
        <v>8750</v>
      </c>
      <c r="J546" t="s">
        <v>8732</v>
      </c>
      <c r="K546" t="s">
        <v>74</v>
      </c>
      <c r="L546" t="s">
        <v>74</v>
      </c>
      <c r="M546" t="s">
        <v>78</v>
      </c>
      <c r="N546" t="s">
        <v>52</v>
      </c>
      <c r="O546" t="s">
        <v>74</v>
      </c>
      <c r="P546" t="s">
        <v>74</v>
      </c>
      <c r="Q546" t="s">
        <v>74</v>
      </c>
      <c r="R546" t="s">
        <v>74</v>
      </c>
      <c r="S546" t="s">
        <v>74</v>
      </c>
      <c r="T546" t="s">
        <v>74</v>
      </c>
      <c r="U546" t="s">
        <v>74</v>
      </c>
      <c r="V546" t="s">
        <v>74</v>
      </c>
      <c r="W546" t="s">
        <v>8751</v>
      </c>
      <c r="X546" t="s">
        <v>8752</v>
      </c>
      <c r="Y546" t="s">
        <v>74</v>
      </c>
      <c r="Z546" t="s">
        <v>8753</v>
      </c>
      <c r="AA546" t="s">
        <v>8754</v>
      </c>
      <c r="AB546" t="s">
        <v>74</v>
      </c>
      <c r="AC546" t="s">
        <v>74</v>
      </c>
      <c r="AD546" t="s">
        <v>74</v>
      </c>
      <c r="AE546" t="s">
        <v>74</v>
      </c>
      <c r="AF546" t="s">
        <v>74</v>
      </c>
      <c r="AG546">
        <v>0</v>
      </c>
      <c r="AH546">
        <v>0</v>
      </c>
      <c r="AI546">
        <v>0</v>
      </c>
      <c r="AJ546">
        <v>0</v>
      </c>
      <c r="AK546">
        <v>0</v>
      </c>
      <c r="AL546" t="s">
        <v>8738</v>
      </c>
      <c r="AM546" t="s">
        <v>8739</v>
      </c>
      <c r="AN546" t="s">
        <v>8740</v>
      </c>
      <c r="AO546" t="s">
        <v>8741</v>
      </c>
      <c r="AP546" t="s">
        <v>74</v>
      </c>
      <c r="AQ546" t="s">
        <v>74</v>
      </c>
      <c r="AR546" t="s">
        <v>8743</v>
      </c>
      <c r="AS546" t="s">
        <v>8744</v>
      </c>
      <c r="AT546" t="s">
        <v>7963</v>
      </c>
      <c r="AU546">
        <v>2006</v>
      </c>
      <c r="AV546">
        <v>46</v>
      </c>
      <c r="AW546" t="s">
        <v>74</v>
      </c>
      <c r="AX546" t="s">
        <v>74</v>
      </c>
      <c r="AY546">
        <v>1</v>
      </c>
      <c r="AZ546" t="s">
        <v>74</v>
      </c>
      <c r="BA546" t="s">
        <v>74</v>
      </c>
      <c r="BB546" t="s">
        <v>8755</v>
      </c>
      <c r="BC546" t="s">
        <v>8755</v>
      </c>
      <c r="BD546" t="s">
        <v>74</v>
      </c>
      <c r="BE546" t="s">
        <v>74</v>
      </c>
      <c r="BF546" t="s">
        <v>74</v>
      </c>
      <c r="BG546" t="s">
        <v>74</v>
      </c>
      <c r="BH546" t="s">
        <v>74</v>
      </c>
      <c r="BI546">
        <v>1</v>
      </c>
      <c r="BJ546" t="s">
        <v>596</v>
      </c>
      <c r="BK546" t="s">
        <v>97</v>
      </c>
      <c r="BL546" t="s">
        <v>596</v>
      </c>
      <c r="BM546" t="s">
        <v>8746</v>
      </c>
      <c r="BN546" t="s">
        <v>74</v>
      </c>
      <c r="BO546" t="s">
        <v>74</v>
      </c>
      <c r="BP546" t="s">
        <v>74</v>
      </c>
      <c r="BQ546" t="s">
        <v>74</v>
      </c>
      <c r="BR546" t="s">
        <v>100</v>
      </c>
      <c r="BS546" t="s">
        <v>8756</v>
      </c>
      <c r="BT546" t="str">
        <f>HYPERLINK("https%3A%2F%2Fwww.webofscience.com%2Fwos%2Fwoscc%2Ffull-record%2FWOS:000202970100399","View Full Record in Web of Science")</f>
        <v>View Full Record in Web of Science</v>
      </c>
    </row>
    <row r="547" spans="1:72" x14ac:dyDescent="0.15">
      <c r="A547" t="s">
        <v>72</v>
      </c>
      <c r="B547" t="s">
        <v>8757</v>
      </c>
      <c r="C547" t="s">
        <v>74</v>
      </c>
      <c r="D547" t="s">
        <v>74</v>
      </c>
      <c r="E547" t="s">
        <v>74</v>
      </c>
      <c r="F547" t="s">
        <v>8758</v>
      </c>
      <c r="G547" t="s">
        <v>74</v>
      </c>
      <c r="H547" t="s">
        <v>74</v>
      </c>
      <c r="I547" t="s">
        <v>8759</v>
      </c>
      <c r="J547" t="s">
        <v>8732</v>
      </c>
      <c r="K547" t="s">
        <v>74</v>
      </c>
      <c r="L547" t="s">
        <v>74</v>
      </c>
      <c r="M547" t="s">
        <v>78</v>
      </c>
      <c r="N547" t="s">
        <v>52</v>
      </c>
      <c r="O547" t="s">
        <v>74</v>
      </c>
      <c r="P547" t="s">
        <v>74</v>
      </c>
      <c r="Q547" t="s">
        <v>74</v>
      </c>
      <c r="R547" t="s">
        <v>74</v>
      </c>
      <c r="S547" t="s">
        <v>74</v>
      </c>
      <c r="T547" t="s">
        <v>74</v>
      </c>
      <c r="U547" t="s">
        <v>74</v>
      </c>
      <c r="V547" t="s">
        <v>74</v>
      </c>
      <c r="W547" t="s">
        <v>8760</v>
      </c>
      <c r="X547" t="s">
        <v>8761</v>
      </c>
      <c r="Y547" t="s">
        <v>74</v>
      </c>
      <c r="Z547" t="s">
        <v>1600</v>
      </c>
      <c r="AA547" t="s">
        <v>1601</v>
      </c>
      <c r="AB547" t="s">
        <v>1602</v>
      </c>
      <c r="AC547" t="s">
        <v>74</v>
      </c>
      <c r="AD547" t="s">
        <v>74</v>
      </c>
      <c r="AE547" t="s">
        <v>74</v>
      </c>
      <c r="AF547" t="s">
        <v>74</v>
      </c>
      <c r="AG547">
        <v>0</v>
      </c>
      <c r="AH547">
        <v>0</v>
      </c>
      <c r="AI547">
        <v>0</v>
      </c>
      <c r="AJ547">
        <v>0</v>
      </c>
      <c r="AK547">
        <v>2</v>
      </c>
      <c r="AL547" t="s">
        <v>8738</v>
      </c>
      <c r="AM547" t="s">
        <v>8739</v>
      </c>
      <c r="AN547" t="s">
        <v>8740</v>
      </c>
      <c r="AO547" t="s">
        <v>8741</v>
      </c>
      <c r="AP547" t="s">
        <v>8742</v>
      </c>
      <c r="AQ547" t="s">
        <v>74</v>
      </c>
      <c r="AR547" t="s">
        <v>8743</v>
      </c>
      <c r="AS547" t="s">
        <v>8744</v>
      </c>
      <c r="AT547" t="s">
        <v>7963</v>
      </c>
      <c r="AU547">
        <v>2006</v>
      </c>
      <c r="AV547">
        <v>46</v>
      </c>
      <c r="AW547" t="s">
        <v>74</v>
      </c>
      <c r="AX547" t="s">
        <v>74</v>
      </c>
      <c r="AY547">
        <v>1</v>
      </c>
      <c r="AZ547" t="s">
        <v>74</v>
      </c>
      <c r="BA547" t="s">
        <v>74</v>
      </c>
      <c r="BB547" t="s">
        <v>8762</v>
      </c>
      <c r="BC547" t="s">
        <v>8762</v>
      </c>
      <c r="BD547" t="s">
        <v>74</v>
      </c>
      <c r="BE547" t="s">
        <v>74</v>
      </c>
      <c r="BF547" t="s">
        <v>74</v>
      </c>
      <c r="BG547" t="s">
        <v>74</v>
      </c>
      <c r="BH547" t="s">
        <v>74</v>
      </c>
      <c r="BI547">
        <v>1</v>
      </c>
      <c r="BJ547" t="s">
        <v>596</v>
      </c>
      <c r="BK547" t="s">
        <v>97</v>
      </c>
      <c r="BL547" t="s">
        <v>596</v>
      </c>
      <c r="BM547" t="s">
        <v>8746</v>
      </c>
      <c r="BN547" t="s">
        <v>74</v>
      </c>
      <c r="BO547" t="s">
        <v>74</v>
      </c>
      <c r="BP547" t="s">
        <v>74</v>
      </c>
      <c r="BQ547" t="s">
        <v>74</v>
      </c>
      <c r="BR547" t="s">
        <v>100</v>
      </c>
      <c r="BS547" t="s">
        <v>8763</v>
      </c>
      <c r="BT547" t="str">
        <f>HYPERLINK("https%3A%2F%2Fwww.webofscience.com%2Fwos%2Fwoscc%2Ffull-record%2FWOS:000202970100967","View Full Record in Web of Science")</f>
        <v>View Full Record in Web of Science</v>
      </c>
    </row>
    <row r="548" spans="1:72" x14ac:dyDescent="0.15">
      <c r="A548" t="s">
        <v>72</v>
      </c>
      <c r="B548" t="s">
        <v>8764</v>
      </c>
      <c r="C548" t="s">
        <v>74</v>
      </c>
      <c r="D548" t="s">
        <v>74</v>
      </c>
      <c r="E548" t="s">
        <v>74</v>
      </c>
      <c r="F548" t="s">
        <v>8765</v>
      </c>
      <c r="G548" t="s">
        <v>74</v>
      </c>
      <c r="H548" t="s">
        <v>74</v>
      </c>
      <c r="I548" t="s">
        <v>8766</v>
      </c>
      <c r="J548" t="s">
        <v>8732</v>
      </c>
      <c r="K548" t="s">
        <v>74</v>
      </c>
      <c r="L548" t="s">
        <v>74</v>
      </c>
      <c r="M548" t="s">
        <v>78</v>
      </c>
      <c r="N548" t="s">
        <v>52</v>
      </c>
      <c r="O548" t="s">
        <v>74</v>
      </c>
      <c r="P548" t="s">
        <v>74</v>
      </c>
      <c r="Q548" t="s">
        <v>74</v>
      </c>
      <c r="R548" t="s">
        <v>74</v>
      </c>
      <c r="S548" t="s">
        <v>74</v>
      </c>
      <c r="T548" t="s">
        <v>74</v>
      </c>
      <c r="U548" t="s">
        <v>74</v>
      </c>
      <c r="V548" t="s">
        <v>74</v>
      </c>
      <c r="W548" t="s">
        <v>8767</v>
      </c>
      <c r="X548" t="s">
        <v>8768</v>
      </c>
      <c r="Y548" t="s">
        <v>74</v>
      </c>
      <c r="Z548" t="s">
        <v>8769</v>
      </c>
      <c r="AA548" t="s">
        <v>8770</v>
      </c>
      <c r="AB548" t="s">
        <v>74</v>
      </c>
      <c r="AC548" t="s">
        <v>74</v>
      </c>
      <c r="AD548" t="s">
        <v>74</v>
      </c>
      <c r="AE548" t="s">
        <v>74</v>
      </c>
      <c r="AF548" t="s">
        <v>74</v>
      </c>
      <c r="AG548">
        <v>0</v>
      </c>
      <c r="AH548">
        <v>0</v>
      </c>
      <c r="AI548">
        <v>0</v>
      </c>
      <c r="AJ548">
        <v>0</v>
      </c>
      <c r="AK548">
        <v>2</v>
      </c>
      <c r="AL548" t="s">
        <v>8738</v>
      </c>
      <c r="AM548" t="s">
        <v>8739</v>
      </c>
      <c r="AN548" t="s">
        <v>8740</v>
      </c>
      <c r="AO548" t="s">
        <v>8741</v>
      </c>
      <c r="AP548" t="s">
        <v>74</v>
      </c>
      <c r="AQ548" t="s">
        <v>74</v>
      </c>
      <c r="AR548" t="s">
        <v>8743</v>
      </c>
      <c r="AS548" t="s">
        <v>8744</v>
      </c>
      <c r="AT548" t="s">
        <v>7963</v>
      </c>
      <c r="AU548">
        <v>2006</v>
      </c>
      <c r="AV548">
        <v>46</v>
      </c>
      <c r="AW548" t="s">
        <v>74</v>
      </c>
      <c r="AX548" t="s">
        <v>74</v>
      </c>
      <c r="AY548">
        <v>1</v>
      </c>
      <c r="AZ548" t="s">
        <v>74</v>
      </c>
      <c r="BA548" t="s">
        <v>74</v>
      </c>
      <c r="BB548" t="s">
        <v>8771</v>
      </c>
      <c r="BC548" t="s">
        <v>8771</v>
      </c>
      <c r="BD548" t="s">
        <v>74</v>
      </c>
      <c r="BE548" t="s">
        <v>74</v>
      </c>
      <c r="BF548" t="s">
        <v>74</v>
      </c>
      <c r="BG548" t="s">
        <v>74</v>
      </c>
      <c r="BH548" t="s">
        <v>74</v>
      </c>
      <c r="BI548">
        <v>1</v>
      </c>
      <c r="BJ548" t="s">
        <v>596</v>
      </c>
      <c r="BK548" t="s">
        <v>97</v>
      </c>
      <c r="BL548" t="s">
        <v>596</v>
      </c>
      <c r="BM548" t="s">
        <v>8746</v>
      </c>
      <c r="BN548" t="s">
        <v>74</v>
      </c>
      <c r="BO548" t="s">
        <v>74</v>
      </c>
      <c r="BP548" t="s">
        <v>74</v>
      </c>
      <c r="BQ548" t="s">
        <v>74</v>
      </c>
      <c r="BR548" t="s">
        <v>100</v>
      </c>
      <c r="BS548" t="s">
        <v>8772</v>
      </c>
      <c r="BT548" t="str">
        <f>HYPERLINK("https%3A%2F%2Fwww.webofscience.com%2Fwos%2Fwoscc%2Ffull-record%2FWOS:000202970100572","View Full Record in Web of Science")</f>
        <v>View Full Record in Web of Science</v>
      </c>
    </row>
    <row r="549" spans="1:72" x14ac:dyDescent="0.15">
      <c r="A549" t="s">
        <v>72</v>
      </c>
      <c r="B549" t="s">
        <v>8773</v>
      </c>
      <c r="C549" t="s">
        <v>74</v>
      </c>
      <c r="D549" t="s">
        <v>74</v>
      </c>
      <c r="E549" t="s">
        <v>74</v>
      </c>
      <c r="F549" t="s">
        <v>8774</v>
      </c>
      <c r="G549" t="s">
        <v>74</v>
      </c>
      <c r="H549" t="s">
        <v>74</v>
      </c>
      <c r="I549" t="s">
        <v>8775</v>
      </c>
      <c r="J549" t="s">
        <v>8732</v>
      </c>
      <c r="K549" t="s">
        <v>74</v>
      </c>
      <c r="L549" t="s">
        <v>74</v>
      </c>
      <c r="M549" t="s">
        <v>78</v>
      </c>
      <c r="N549" t="s">
        <v>52</v>
      </c>
      <c r="O549" t="s">
        <v>74</v>
      </c>
      <c r="P549" t="s">
        <v>74</v>
      </c>
      <c r="Q549" t="s">
        <v>74</v>
      </c>
      <c r="R549" t="s">
        <v>74</v>
      </c>
      <c r="S549" t="s">
        <v>74</v>
      </c>
      <c r="T549" t="s">
        <v>74</v>
      </c>
      <c r="U549" t="s">
        <v>74</v>
      </c>
      <c r="V549" t="s">
        <v>74</v>
      </c>
      <c r="W549" t="s">
        <v>8776</v>
      </c>
      <c r="X549" t="s">
        <v>8777</v>
      </c>
      <c r="Y549" t="s">
        <v>74</v>
      </c>
      <c r="Z549" t="s">
        <v>8778</v>
      </c>
      <c r="AA549" t="s">
        <v>74</v>
      </c>
      <c r="AB549" t="s">
        <v>74</v>
      </c>
      <c r="AC549" t="s">
        <v>74</v>
      </c>
      <c r="AD549" t="s">
        <v>74</v>
      </c>
      <c r="AE549" t="s">
        <v>74</v>
      </c>
      <c r="AF549" t="s">
        <v>74</v>
      </c>
      <c r="AG549">
        <v>0</v>
      </c>
      <c r="AH549">
        <v>0</v>
      </c>
      <c r="AI549">
        <v>0</v>
      </c>
      <c r="AJ549">
        <v>0</v>
      </c>
      <c r="AK549">
        <v>0</v>
      </c>
      <c r="AL549" t="s">
        <v>8738</v>
      </c>
      <c r="AM549" t="s">
        <v>8739</v>
      </c>
      <c r="AN549" t="s">
        <v>8740</v>
      </c>
      <c r="AO549" t="s">
        <v>8741</v>
      </c>
      <c r="AP549" t="s">
        <v>8742</v>
      </c>
      <c r="AQ549" t="s">
        <v>74</v>
      </c>
      <c r="AR549" t="s">
        <v>8743</v>
      </c>
      <c r="AS549" t="s">
        <v>8744</v>
      </c>
      <c r="AT549" t="s">
        <v>7963</v>
      </c>
      <c r="AU549">
        <v>2006</v>
      </c>
      <c r="AV549">
        <v>46</v>
      </c>
      <c r="AW549" t="s">
        <v>74</v>
      </c>
      <c r="AX549" t="s">
        <v>74</v>
      </c>
      <c r="AY549">
        <v>1</v>
      </c>
      <c r="AZ549" t="s">
        <v>74</v>
      </c>
      <c r="BA549" t="s">
        <v>74</v>
      </c>
      <c r="BB549" t="s">
        <v>8779</v>
      </c>
      <c r="BC549" t="s">
        <v>8779</v>
      </c>
      <c r="BD549" t="s">
        <v>74</v>
      </c>
      <c r="BE549" t="s">
        <v>74</v>
      </c>
      <c r="BF549" t="s">
        <v>74</v>
      </c>
      <c r="BG549" t="s">
        <v>74</v>
      </c>
      <c r="BH549" t="s">
        <v>74</v>
      </c>
      <c r="BI549">
        <v>1</v>
      </c>
      <c r="BJ549" t="s">
        <v>596</v>
      </c>
      <c r="BK549" t="s">
        <v>97</v>
      </c>
      <c r="BL549" t="s">
        <v>596</v>
      </c>
      <c r="BM549" t="s">
        <v>8746</v>
      </c>
      <c r="BN549" t="s">
        <v>74</v>
      </c>
      <c r="BO549" t="s">
        <v>74</v>
      </c>
      <c r="BP549" t="s">
        <v>74</v>
      </c>
      <c r="BQ549" t="s">
        <v>74</v>
      </c>
      <c r="BR549" t="s">
        <v>100</v>
      </c>
      <c r="BS549" t="s">
        <v>8780</v>
      </c>
      <c r="BT549" t="str">
        <f>HYPERLINK("https%3A%2F%2Fwww.webofscience.com%2Fwos%2Fwoscc%2Ffull-record%2FWOS:000202970100576","View Full Record in Web of Science")</f>
        <v>View Full Record in Web of Science</v>
      </c>
    </row>
    <row r="550" spans="1:72" x14ac:dyDescent="0.15">
      <c r="A550" t="s">
        <v>72</v>
      </c>
      <c r="B550" t="s">
        <v>8781</v>
      </c>
      <c r="C550" t="s">
        <v>74</v>
      </c>
      <c r="D550" t="s">
        <v>74</v>
      </c>
      <c r="E550" t="s">
        <v>74</v>
      </c>
      <c r="F550" t="s">
        <v>8782</v>
      </c>
      <c r="G550" t="s">
        <v>74</v>
      </c>
      <c r="H550" t="s">
        <v>74</v>
      </c>
      <c r="I550" t="s">
        <v>8783</v>
      </c>
      <c r="J550" t="s">
        <v>8784</v>
      </c>
      <c r="K550" t="s">
        <v>74</v>
      </c>
      <c r="L550" t="s">
        <v>74</v>
      </c>
      <c r="M550" t="s">
        <v>78</v>
      </c>
      <c r="N550" t="s">
        <v>1431</v>
      </c>
      <c r="O550" t="s">
        <v>74</v>
      </c>
      <c r="P550" t="s">
        <v>74</v>
      </c>
      <c r="Q550" t="s">
        <v>74</v>
      </c>
      <c r="R550" t="s">
        <v>74</v>
      </c>
      <c r="S550" t="s">
        <v>74</v>
      </c>
      <c r="T550" t="s">
        <v>74</v>
      </c>
      <c r="U550" t="s">
        <v>74</v>
      </c>
      <c r="V550" t="s">
        <v>74</v>
      </c>
      <c r="W550" t="s">
        <v>8785</v>
      </c>
      <c r="X550" t="s">
        <v>8786</v>
      </c>
      <c r="Y550" t="s">
        <v>8787</v>
      </c>
      <c r="Z550" t="s">
        <v>74</v>
      </c>
      <c r="AA550" t="s">
        <v>74</v>
      </c>
      <c r="AB550" t="s">
        <v>74</v>
      </c>
      <c r="AC550" t="s">
        <v>74</v>
      </c>
      <c r="AD550" t="s">
        <v>74</v>
      </c>
      <c r="AE550" t="s">
        <v>74</v>
      </c>
      <c r="AF550" t="s">
        <v>74</v>
      </c>
      <c r="AG550">
        <v>0</v>
      </c>
      <c r="AH550">
        <v>0</v>
      </c>
      <c r="AI550">
        <v>0</v>
      </c>
      <c r="AJ550">
        <v>0</v>
      </c>
      <c r="AK550">
        <v>0</v>
      </c>
      <c r="AL550" t="s">
        <v>8788</v>
      </c>
      <c r="AM550" t="s">
        <v>1197</v>
      </c>
      <c r="AN550" t="s">
        <v>8789</v>
      </c>
      <c r="AO550" t="s">
        <v>8790</v>
      </c>
      <c r="AP550" t="s">
        <v>8791</v>
      </c>
      <c r="AQ550" t="s">
        <v>74</v>
      </c>
      <c r="AR550" t="s">
        <v>8792</v>
      </c>
      <c r="AS550" t="s">
        <v>8793</v>
      </c>
      <c r="AT550" t="s">
        <v>7963</v>
      </c>
      <c r="AU550">
        <v>2006</v>
      </c>
      <c r="AV550">
        <v>18</v>
      </c>
      <c r="AW550">
        <v>2</v>
      </c>
      <c r="AX550" t="s">
        <v>74</v>
      </c>
      <c r="AY550" t="s">
        <v>74</v>
      </c>
      <c r="AZ550" t="s">
        <v>74</v>
      </c>
      <c r="BA550" t="s">
        <v>74</v>
      </c>
      <c r="BB550">
        <v>283</v>
      </c>
      <c r="BC550" t="s">
        <v>617</v>
      </c>
      <c r="BD550" t="s">
        <v>74</v>
      </c>
      <c r="BE550" t="s">
        <v>8794</v>
      </c>
      <c r="BF550" t="str">
        <f>HYPERLINK("http://dx.doi.org/10.1177/084387140601800213","http://dx.doi.org/10.1177/084387140601800213")</f>
        <v>http://dx.doi.org/10.1177/084387140601800213</v>
      </c>
      <c r="BG550" t="s">
        <v>74</v>
      </c>
      <c r="BH550" t="s">
        <v>74</v>
      </c>
      <c r="BI550">
        <v>2</v>
      </c>
      <c r="BJ550" t="s">
        <v>8795</v>
      </c>
      <c r="BK550" t="s">
        <v>643</v>
      </c>
      <c r="BL550" t="s">
        <v>8795</v>
      </c>
      <c r="BM550" t="s">
        <v>8796</v>
      </c>
      <c r="BN550" t="s">
        <v>74</v>
      </c>
      <c r="BO550" t="s">
        <v>74</v>
      </c>
      <c r="BP550" t="s">
        <v>74</v>
      </c>
      <c r="BQ550" t="s">
        <v>74</v>
      </c>
      <c r="BR550" t="s">
        <v>100</v>
      </c>
      <c r="BS550" t="s">
        <v>8797</v>
      </c>
      <c r="BT550" t="str">
        <f>HYPERLINK("https%3A%2F%2Fwww.webofscience.com%2Fwos%2Fwoscc%2Ffull-record%2FWOS:000210625300013","View Full Record in Web of Science")</f>
        <v>View Full Record in Web of Science</v>
      </c>
    </row>
    <row r="551" spans="1:72" x14ac:dyDescent="0.15">
      <c r="A551" t="s">
        <v>72</v>
      </c>
      <c r="B551" t="s">
        <v>8781</v>
      </c>
      <c r="C551" t="s">
        <v>74</v>
      </c>
      <c r="D551" t="s">
        <v>74</v>
      </c>
      <c r="E551" t="s">
        <v>74</v>
      </c>
      <c r="F551" t="s">
        <v>8782</v>
      </c>
      <c r="G551" t="s">
        <v>74</v>
      </c>
      <c r="H551" t="s">
        <v>74</v>
      </c>
      <c r="I551" t="s">
        <v>8798</v>
      </c>
      <c r="J551" t="s">
        <v>8784</v>
      </c>
      <c r="K551" t="s">
        <v>74</v>
      </c>
      <c r="L551" t="s">
        <v>74</v>
      </c>
      <c r="M551" t="s">
        <v>78</v>
      </c>
      <c r="N551" t="s">
        <v>79</v>
      </c>
      <c r="O551" t="s">
        <v>74</v>
      </c>
      <c r="P551" t="s">
        <v>74</v>
      </c>
      <c r="Q551" t="s">
        <v>74</v>
      </c>
      <c r="R551" t="s">
        <v>74</v>
      </c>
      <c r="S551" t="s">
        <v>74</v>
      </c>
      <c r="T551" t="s">
        <v>74</v>
      </c>
      <c r="U551" t="s">
        <v>74</v>
      </c>
      <c r="V551" t="s">
        <v>8799</v>
      </c>
      <c r="W551" t="s">
        <v>8785</v>
      </c>
      <c r="X551" t="s">
        <v>8786</v>
      </c>
      <c r="Y551" t="s">
        <v>8787</v>
      </c>
      <c r="Z551" t="s">
        <v>74</v>
      </c>
      <c r="AA551" t="s">
        <v>74</v>
      </c>
      <c r="AB551" t="s">
        <v>74</v>
      </c>
      <c r="AC551" t="s">
        <v>74</v>
      </c>
      <c r="AD551" t="s">
        <v>74</v>
      </c>
      <c r="AE551" t="s">
        <v>74</v>
      </c>
      <c r="AF551" t="s">
        <v>74</v>
      </c>
      <c r="AG551">
        <v>32</v>
      </c>
      <c r="AH551">
        <v>2</v>
      </c>
      <c r="AI551">
        <v>2</v>
      </c>
      <c r="AJ551">
        <v>0</v>
      </c>
      <c r="AK551">
        <v>1</v>
      </c>
      <c r="AL551" t="s">
        <v>8788</v>
      </c>
      <c r="AM551" t="s">
        <v>1197</v>
      </c>
      <c r="AN551" t="s">
        <v>8789</v>
      </c>
      <c r="AO551" t="s">
        <v>8790</v>
      </c>
      <c r="AP551" t="s">
        <v>8791</v>
      </c>
      <c r="AQ551" t="s">
        <v>74</v>
      </c>
      <c r="AR551" t="s">
        <v>8792</v>
      </c>
      <c r="AS551" t="s">
        <v>8793</v>
      </c>
      <c r="AT551" t="s">
        <v>7963</v>
      </c>
      <c r="AU551">
        <v>2006</v>
      </c>
      <c r="AV551">
        <v>18</v>
      </c>
      <c r="AW551">
        <v>2</v>
      </c>
      <c r="AX551" t="s">
        <v>74</v>
      </c>
      <c r="AY551" t="s">
        <v>74</v>
      </c>
      <c r="AZ551" t="s">
        <v>74</v>
      </c>
      <c r="BA551" t="s">
        <v>74</v>
      </c>
      <c r="BB551">
        <v>285</v>
      </c>
      <c r="BC551" t="s">
        <v>617</v>
      </c>
      <c r="BD551" t="s">
        <v>74</v>
      </c>
      <c r="BE551" t="s">
        <v>8800</v>
      </c>
      <c r="BF551" t="str">
        <f>HYPERLINK("http://dx.doi.org/10.1177/084387140601800214","http://dx.doi.org/10.1177/084387140601800214")</f>
        <v>http://dx.doi.org/10.1177/084387140601800214</v>
      </c>
      <c r="BG551" t="s">
        <v>74</v>
      </c>
      <c r="BH551" t="s">
        <v>74</v>
      </c>
      <c r="BI551">
        <v>23</v>
      </c>
      <c r="BJ551" t="s">
        <v>8795</v>
      </c>
      <c r="BK551" t="s">
        <v>643</v>
      </c>
      <c r="BL551" t="s">
        <v>8795</v>
      </c>
      <c r="BM551" t="s">
        <v>8796</v>
      </c>
      <c r="BN551" t="s">
        <v>74</v>
      </c>
      <c r="BO551" t="s">
        <v>1384</v>
      </c>
      <c r="BP551" t="s">
        <v>74</v>
      </c>
      <c r="BQ551" t="s">
        <v>74</v>
      </c>
      <c r="BR551" t="s">
        <v>100</v>
      </c>
      <c r="BS551" t="s">
        <v>8801</v>
      </c>
      <c r="BT551" t="str">
        <f>HYPERLINK("https%3A%2F%2Fwww.webofscience.com%2Fwos%2Fwoscc%2Ffull-record%2FWOS:000210625300014","View Full Record in Web of Science")</f>
        <v>View Full Record in Web of Science</v>
      </c>
    </row>
    <row r="552" spans="1:72" x14ac:dyDescent="0.15">
      <c r="A552" t="s">
        <v>72</v>
      </c>
      <c r="B552" t="s">
        <v>8802</v>
      </c>
      <c r="C552" t="s">
        <v>74</v>
      </c>
      <c r="D552" t="s">
        <v>74</v>
      </c>
      <c r="E552" t="s">
        <v>74</v>
      </c>
      <c r="F552" t="s">
        <v>8803</v>
      </c>
      <c r="G552" t="s">
        <v>74</v>
      </c>
      <c r="H552" t="s">
        <v>74</v>
      </c>
      <c r="I552" t="s">
        <v>8804</v>
      </c>
      <c r="J552" t="s">
        <v>8784</v>
      </c>
      <c r="K552" t="s">
        <v>74</v>
      </c>
      <c r="L552" t="s">
        <v>74</v>
      </c>
      <c r="M552" t="s">
        <v>78</v>
      </c>
      <c r="N552" t="s">
        <v>79</v>
      </c>
      <c r="O552" t="s">
        <v>74</v>
      </c>
      <c r="P552" t="s">
        <v>74</v>
      </c>
      <c r="Q552" t="s">
        <v>74</v>
      </c>
      <c r="R552" t="s">
        <v>74</v>
      </c>
      <c r="S552" t="s">
        <v>74</v>
      </c>
      <c r="T552" t="s">
        <v>74</v>
      </c>
      <c r="U552" t="s">
        <v>74</v>
      </c>
      <c r="V552" t="s">
        <v>8805</v>
      </c>
      <c r="W552" t="s">
        <v>8806</v>
      </c>
      <c r="X552" t="s">
        <v>8807</v>
      </c>
      <c r="Y552" t="s">
        <v>8808</v>
      </c>
      <c r="Z552" t="s">
        <v>74</v>
      </c>
      <c r="AA552" t="s">
        <v>74</v>
      </c>
      <c r="AB552" t="s">
        <v>74</v>
      </c>
      <c r="AC552" t="s">
        <v>74</v>
      </c>
      <c r="AD552" t="s">
        <v>74</v>
      </c>
      <c r="AE552" t="s">
        <v>74</v>
      </c>
      <c r="AF552" t="s">
        <v>74</v>
      </c>
      <c r="AG552">
        <v>45</v>
      </c>
      <c r="AH552">
        <v>0</v>
      </c>
      <c r="AI552">
        <v>0</v>
      </c>
      <c r="AJ552">
        <v>0</v>
      </c>
      <c r="AK552">
        <v>1</v>
      </c>
      <c r="AL552" t="s">
        <v>8788</v>
      </c>
      <c r="AM552" t="s">
        <v>1197</v>
      </c>
      <c r="AN552" t="s">
        <v>8789</v>
      </c>
      <c r="AO552" t="s">
        <v>8790</v>
      </c>
      <c r="AP552" t="s">
        <v>8791</v>
      </c>
      <c r="AQ552" t="s">
        <v>74</v>
      </c>
      <c r="AR552" t="s">
        <v>8792</v>
      </c>
      <c r="AS552" t="s">
        <v>8793</v>
      </c>
      <c r="AT552" t="s">
        <v>7963</v>
      </c>
      <c r="AU552">
        <v>2006</v>
      </c>
      <c r="AV552">
        <v>18</v>
      </c>
      <c r="AW552">
        <v>2</v>
      </c>
      <c r="AX552" t="s">
        <v>74</v>
      </c>
      <c r="AY552" t="s">
        <v>74</v>
      </c>
      <c r="AZ552" t="s">
        <v>74</v>
      </c>
      <c r="BA552" t="s">
        <v>74</v>
      </c>
      <c r="BB552">
        <v>305</v>
      </c>
      <c r="BC552" t="s">
        <v>617</v>
      </c>
      <c r="BD552" t="s">
        <v>74</v>
      </c>
      <c r="BE552" t="s">
        <v>8809</v>
      </c>
      <c r="BF552" t="str">
        <f>HYPERLINK("http://dx.doi.org/10.1177/084387140601800215","http://dx.doi.org/10.1177/084387140601800215")</f>
        <v>http://dx.doi.org/10.1177/084387140601800215</v>
      </c>
      <c r="BG552" t="s">
        <v>74</v>
      </c>
      <c r="BH552" t="s">
        <v>74</v>
      </c>
      <c r="BI552">
        <v>20</v>
      </c>
      <c r="BJ552" t="s">
        <v>8795</v>
      </c>
      <c r="BK552" t="s">
        <v>643</v>
      </c>
      <c r="BL552" t="s">
        <v>8795</v>
      </c>
      <c r="BM552" t="s">
        <v>8796</v>
      </c>
      <c r="BN552" t="s">
        <v>74</v>
      </c>
      <c r="BO552" t="s">
        <v>74</v>
      </c>
      <c r="BP552" t="s">
        <v>74</v>
      </c>
      <c r="BQ552" t="s">
        <v>74</v>
      </c>
      <c r="BR552" t="s">
        <v>100</v>
      </c>
      <c r="BS552" t="s">
        <v>8810</v>
      </c>
      <c r="BT552" t="str">
        <f>HYPERLINK("https%3A%2F%2Fwww.webofscience.com%2Fwos%2Fwoscc%2Ffull-record%2FWOS:000210625300015","View Full Record in Web of Science")</f>
        <v>View Full Record in Web of Science</v>
      </c>
    </row>
    <row r="553" spans="1:72" x14ac:dyDescent="0.15">
      <c r="A553" t="s">
        <v>72</v>
      </c>
      <c r="B553" t="s">
        <v>8811</v>
      </c>
      <c r="C553" t="s">
        <v>74</v>
      </c>
      <c r="D553" t="s">
        <v>74</v>
      </c>
      <c r="E553" t="s">
        <v>74</v>
      </c>
      <c r="F553" t="s">
        <v>8812</v>
      </c>
      <c r="G553" t="s">
        <v>74</v>
      </c>
      <c r="H553" t="s">
        <v>74</v>
      </c>
      <c r="I553" t="s">
        <v>8813</v>
      </c>
      <c r="J553" t="s">
        <v>8784</v>
      </c>
      <c r="K553" t="s">
        <v>74</v>
      </c>
      <c r="L553" t="s">
        <v>74</v>
      </c>
      <c r="M553" t="s">
        <v>78</v>
      </c>
      <c r="N553" t="s">
        <v>79</v>
      </c>
      <c r="O553" t="s">
        <v>74</v>
      </c>
      <c r="P553" t="s">
        <v>74</v>
      </c>
      <c r="Q553" t="s">
        <v>74</v>
      </c>
      <c r="R553" t="s">
        <v>74</v>
      </c>
      <c r="S553" t="s">
        <v>74</v>
      </c>
      <c r="T553" t="s">
        <v>74</v>
      </c>
      <c r="U553" t="s">
        <v>74</v>
      </c>
      <c r="V553" t="s">
        <v>8814</v>
      </c>
      <c r="W553" t="s">
        <v>8815</v>
      </c>
      <c r="X553" t="s">
        <v>2302</v>
      </c>
      <c r="Y553" t="s">
        <v>8816</v>
      </c>
      <c r="Z553" t="s">
        <v>74</v>
      </c>
      <c r="AA553" t="s">
        <v>74</v>
      </c>
      <c r="AB553" t="s">
        <v>74</v>
      </c>
      <c r="AC553" t="s">
        <v>74</v>
      </c>
      <c r="AD553" t="s">
        <v>74</v>
      </c>
      <c r="AE553" t="s">
        <v>74</v>
      </c>
      <c r="AF553" t="s">
        <v>74</v>
      </c>
      <c r="AG553">
        <v>40</v>
      </c>
      <c r="AH553">
        <v>0</v>
      </c>
      <c r="AI553">
        <v>0</v>
      </c>
      <c r="AJ553">
        <v>0</v>
      </c>
      <c r="AK553">
        <v>0</v>
      </c>
      <c r="AL553" t="s">
        <v>8788</v>
      </c>
      <c r="AM553" t="s">
        <v>1197</v>
      </c>
      <c r="AN553" t="s">
        <v>8789</v>
      </c>
      <c r="AO553" t="s">
        <v>8790</v>
      </c>
      <c r="AP553" t="s">
        <v>8791</v>
      </c>
      <c r="AQ553" t="s">
        <v>74</v>
      </c>
      <c r="AR553" t="s">
        <v>8792</v>
      </c>
      <c r="AS553" t="s">
        <v>8793</v>
      </c>
      <c r="AT553" t="s">
        <v>7963</v>
      </c>
      <c r="AU553">
        <v>2006</v>
      </c>
      <c r="AV553">
        <v>18</v>
      </c>
      <c r="AW553">
        <v>2</v>
      </c>
      <c r="AX553" t="s">
        <v>74</v>
      </c>
      <c r="AY553" t="s">
        <v>74</v>
      </c>
      <c r="AZ553" t="s">
        <v>74</v>
      </c>
      <c r="BA553" t="s">
        <v>74</v>
      </c>
      <c r="BB553">
        <v>323</v>
      </c>
      <c r="BC553" t="s">
        <v>617</v>
      </c>
      <c r="BD553" t="s">
        <v>74</v>
      </c>
      <c r="BE553" t="s">
        <v>8817</v>
      </c>
      <c r="BF553" t="str">
        <f>HYPERLINK("http://dx.doi.org/10.1177/084387140601800216","http://dx.doi.org/10.1177/084387140601800216")</f>
        <v>http://dx.doi.org/10.1177/084387140601800216</v>
      </c>
      <c r="BG553" t="s">
        <v>74</v>
      </c>
      <c r="BH553" t="s">
        <v>74</v>
      </c>
      <c r="BI553">
        <v>30</v>
      </c>
      <c r="BJ553" t="s">
        <v>8795</v>
      </c>
      <c r="BK553" t="s">
        <v>643</v>
      </c>
      <c r="BL553" t="s">
        <v>8795</v>
      </c>
      <c r="BM553" t="s">
        <v>8796</v>
      </c>
      <c r="BN553" t="s">
        <v>74</v>
      </c>
      <c r="BO553" t="s">
        <v>74</v>
      </c>
      <c r="BP553" t="s">
        <v>74</v>
      </c>
      <c r="BQ553" t="s">
        <v>74</v>
      </c>
      <c r="BR553" t="s">
        <v>100</v>
      </c>
      <c r="BS553" t="s">
        <v>8818</v>
      </c>
      <c r="BT553" t="str">
        <f>HYPERLINK("https%3A%2F%2Fwww.webofscience.com%2Fwos%2Fwoscc%2Ffull-record%2FWOS:000210625300016","View Full Record in Web of Science")</f>
        <v>View Full Record in Web of Science</v>
      </c>
    </row>
    <row r="554" spans="1:72" x14ac:dyDescent="0.15">
      <c r="A554" t="s">
        <v>72</v>
      </c>
      <c r="B554" t="s">
        <v>8819</v>
      </c>
      <c r="C554" t="s">
        <v>74</v>
      </c>
      <c r="D554" t="s">
        <v>74</v>
      </c>
      <c r="E554" t="s">
        <v>74</v>
      </c>
      <c r="F554" t="s">
        <v>8820</v>
      </c>
      <c r="G554" t="s">
        <v>74</v>
      </c>
      <c r="H554" t="s">
        <v>74</v>
      </c>
      <c r="I554" t="s">
        <v>8821</v>
      </c>
      <c r="J554" t="s">
        <v>8784</v>
      </c>
      <c r="K554" t="s">
        <v>74</v>
      </c>
      <c r="L554" t="s">
        <v>74</v>
      </c>
      <c r="M554" t="s">
        <v>78</v>
      </c>
      <c r="N554" t="s">
        <v>79</v>
      </c>
      <c r="O554" t="s">
        <v>74</v>
      </c>
      <c r="P554" t="s">
        <v>74</v>
      </c>
      <c r="Q554" t="s">
        <v>74</v>
      </c>
      <c r="R554" t="s">
        <v>74</v>
      </c>
      <c r="S554" t="s">
        <v>74</v>
      </c>
      <c r="T554" t="s">
        <v>74</v>
      </c>
      <c r="U554" t="s">
        <v>74</v>
      </c>
      <c r="V554" t="s">
        <v>8822</v>
      </c>
      <c r="W554" t="s">
        <v>74</v>
      </c>
      <c r="X554" t="s">
        <v>74</v>
      </c>
      <c r="Y554" t="s">
        <v>74</v>
      </c>
      <c r="Z554" t="s">
        <v>74</v>
      </c>
      <c r="AA554" t="s">
        <v>74</v>
      </c>
      <c r="AB554" t="s">
        <v>74</v>
      </c>
      <c r="AC554" t="s">
        <v>74</v>
      </c>
      <c r="AD554" t="s">
        <v>74</v>
      </c>
      <c r="AE554" t="s">
        <v>74</v>
      </c>
      <c r="AF554" t="s">
        <v>74</v>
      </c>
      <c r="AG554">
        <v>23</v>
      </c>
      <c r="AH554">
        <v>4</v>
      </c>
      <c r="AI554">
        <v>4</v>
      </c>
      <c r="AJ554">
        <v>1</v>
      </c>
      <c r="AK554">
        <v>1</v>
      </c>
      <c r="AL554" t="s">
        <v>8788</v>
      </c>
      <c r="AM554" t="s">
        <v>1197</v>
      </c>
      <c r="AN554" t="s">
        <v>8789</v>
      </c>
      <c r="AO554" t="s">
        <v>8790</v>
      </c>
      <c r="AP554" t="s">
        <v>8791</v>
      </c>
      <c r="AQ554" t="s">
        <v>74</v>
      </c>
      <c r="AR554" t="s">
        <v>8792</v>
      </c>
      <c r="AS554" t="s">
        <v>8793</v>
      </c>
      <c r="AT554" t="s">
        <v>7963</v>
      </c>
      <c r="AU554">
        <v>2006</v>
      </c>
      <c r="AV554">
        <v>18</v>
      </c>
      <c r="AW554">
        <v>2</v>
      </c>
      <c r="AX554" t="s">
        <v>74</v>
      </c>
      <c r="AY554" t="s">
        <v>74</v>
      </c>
      <c r="AZ554" t="s">
        <v>74</v>
      </c>
      <c r="BA554" t="s">
        <v>74</v>
      </c>
      <c r="BB554">
        <v>351</v>
      </c>
      <c r="BC554" t="s">
        <v>617</v>
      </c>
      <c r="BD554" t="s">
        <v>74</v>
      </c>
      <c r="BE554" t="s">
        <v>8823</v>
      </c>
      <c r="BF554" t="str">
        <f>HYPERLINK("http://dx.doi.org/10.1177/084387140601800217","http://dx.doi.org/10.1177/084387140601800217")</f>
        <v>http://dx.doi.org/10.1177/084387140601800217</v>
      </c>
      <c r="BG554" t="s">
        <v>74</v>
      </c>
      <c r="BH554" t="s">
        <v>74</v>
      </c>
      <c r="BI554">
        <v>22</v>
      </c>
      <c r="BJ554" t="s">
        <v>8795</v>
      </c>
      <c r="BK554" t="s">
        <v>643</v>
      </c>
      <c r="BL554" t="s">
        <v>8795</v>
      </c>
      <c r="BM554" t="s">
        <v>8796</v>
      </c>
      <c r="BN554" t="s">
        <v>74</v>
      </c>
      <c r="BO554" t="s">
        <v>74</v>
      </c>
      <c r="BP554" t="s">
        <v>74</v>
      </c>
      <c r="BQ554" t="s">
        <v>74</v>
      </c>
      <c r="BR554" t="s">
        <v>100</v>
      </c>
      <c r="BS554" t="s">
        <v>8824</v>
      </c>
      <c r="BT554" t="str">
        <f>HYPERLINK("https%3A%2F%2Fwww.webofscience.com%2Fwos%2Fwoscc%2Ffull-record%2FWOS:000210625300017","View Full Record in Web of Science")</f>
        <v>View Full Record in Web of Science</v>
      </c>
    </row>
    <row r="555" spans="1:72" x14ac:dyDescent="0.15">
      <c r="A555" t="s">
        <v>72</v>
      </c>
      <c r="B555" t="s">
        <v>8825</v>
      </c>
      <c r="C555" t="s">
        <v>74</v>
      </c>
      <c r="D555" t="s">
        <v>74</v>
      </c>
      <c r="E555" t="s">
        <v>74</v>
      </c>
      <c r="F555" t="s">
        <v>8826</v>
      </c>
      <c r="G555" t="s">
        <v>74</v>
      </c>
      <c r="H555" t="s">
        <v>74</v>
      </c>
      <c r="I555" t="s">
        <v>8827</v>
      </c>
      <c r="J555" t="s">
        <v>8784</v>
      </c>
      <c r="K555" t="s">
        <v>74</v>
      </c>
      <c r="L555" t="s">
        <v>74</v>
      </c>
      <c r="M555" t="s">
        <v>78</v>
      </c>
      <c r="N555" t="s">
        <v>4036</v>
      </c>
      <c r="O555" t="s">
        <v>74</v>
      </c>
      <c r="P555" t="s">
        <v>74</v>
      </c>
      <c r="Q555" t="s">
        <v>74</v>
      </c>
      <c r="R555" t="s">
        <v>74</v>
      </c>
      <c r="S555" t="s">
        <v>74</v>
      </c>
      <c r="T555" t="s">
        <v>74</v>
      </c>
      <c r="U555" t="s">
        <v>74</v>
      </c>
      <c r="V555" t="s">
        <v>74</v>
      </c>
      <c r="W555" t="s">
        <v>74</v>
      </c>
      <c r="X555" t="s">
        <v>74</v>
      </c>
      <c r="Y555" t="s">
        <v>74</v>
      </c>
      <c r="Z555" t="s">
        <v>74</v>
      </c>
      <c r="AA555" t="s">
        <v>74</v>
      </c>
      <c r="AB555" t="s">
        <v>74</v>
      </c>
      <c r="AC555" t="s">
        <v>74</v>
      </c>
      <c r="AD555" t="s">
        <v>74</v>
      </c>
      <c r="AE555" t="s">
        <v>74</v>
      </c>
      <c r="AF555" t="s">
        <v>74</v>
      </c>
      <c r="AG555">
        <v>1</v>
      </c>
      <c r="AH555">
        <v>0</v>
      </c>
      <c r="AI555">
        <v>0</v>
      </c>
      <c r="AJ555">
        <v>0</v>
      </c>
      <c r="AK555">
        <v>0</v>
      </c>
      <c r="AL555" t="s">
        <v>8788</v>
      </c>
      <c r="AM555" t="s">
        <v>1197</v>
      </c>
      <c r="AN555" t="s">
        <v>8789</v>
      </c>
      <c r="AO555" t="s">
        <v>8790</v>
      </c>
      <c r="AP555" t="s">
        <v>8791</v>
      </c>
      <c r="AQ555" t="s">
        <v>74</v>
      </c>
      <c r="AR555" t="s">
        <v>8792</v>
      </c>
      <c r="AS555" t="s">
        <v>8793</v>
      </c>
      <c r="AT555" t="s">
        <v>7963</v>
      </c>
      <c r="AU555">
        <v>2006</v>
      </c>
      <c r="AV555">
        <v>18</v>
      </c>
      <c r="AW555">
        <v>2</v>
      </c>
      <c r="AX555" t="s">
        <v>74</v>
      </c>
      <c r="AY555" t="s">
        <v>74</v>
      </c>
      <c r="AZ555" t="s">
        <v>74</v>
      </c>
      <c r="BA555" t="s">
        <v>74</v>
      </c>
      <c r="BB555">
        <v>535</v>
      </c>
      <c r="BC555" t="s">
        <v>617</v>
      </c>
      <c r="BD555" t="s">
        <v>74</v>
      </c>
      <c r="BE555" t="s">
        <v>8828</v>
      </c>
      <c r="BF555" t="str">
        <f>HYPERLINK("http://dx.doi.org/10.1177/084387140601800259","http://dx.doi.org/10.1177/084387140601800259")</f>
        <v>http://dx.doi.org/10.1177/084387140601800259</v>
      </c>
      <c r="BG555" t="s">
        <v>74</v>
      </c>
      <c r="BH555" t="s">
        <v>74</v>
      </c>
      <c r="BI555">
        <v>3</v>
      </c>
      <c r="BJ555" t="s">
        <v>8795</v>
      </c>
      <c r="BK555" t="s">
        <v>643</v>
      </c>
      <c r="BL555" t="s">
        <v>8795</v>
      </c>
      <c r="BM555" t="s">
        <v>8796</v>
      </c>
      <c r="BN555" t="s">
        <v>74</v>
      </c>
      <c r="BO555" t="s">
        <v>74</v>
      </c>
      <c r="BP555" t="s">
        <v>74</v>
      </c>
      <c r="BQ555" t="s">
        <v>74</v>
      </c>
      <c r="BR555" t="s">
        <v>100</v>
      </c>
      <c r="BS555" t="s">
        <v>8829</v>
      </c>
      <c r="BT555" t="str">
        <f>HYPERLINK("https%3A%2F%2Fwww.webofscience.com%2Fwos%2Fwoscc%2Ffull-record%2FWOS:000210625300061","View Full Record in Web of Science")</f>
        <v>View Full Record in Web of Science</v>
      </c>
    </row>
    <row r="556" spans="1:72" x14ac:dyDescent="0.15">
      <c r="A556" t="s">
        <v>72</v>
      </c>
      <c r="B556" t="s">
        <v>8830</v>
      </c>
      <c r="C556" t="s">
        <v>74</v>
      </c>
      <c r="D556" t="s">
        <v>74</v>
      </c>
      <c r="E556" t="s">
        <v>74</v>
      </c>
      <c r="F556" t="s">
        <v>8831</v>
      </c>
      <c r="G556" t="s">
        <v>74</v>
      </c>
      <c r="H556" t="s">
        <v>74</v>
      </c>
      <c r="I556" t="s">
        <v>8832</v>
      </c>
      <c r="J556" t="s">
        <v>8833</v>
      </c>
      <c r="K556" t="s">
        <v>74</v>
      </c>
      <c r="L556" t="s">
        <v>74</v>
      </c>
      <c r="M556" t="s">
        <v>78</v>
      </c>
      <c r="N556" t="s">
        <v>79</v>
      </c>
      <c r="O556" t="s">
        <v>74</v>
      </c>
      <c r="P556" t="s">
        <v>74</v>
      </c>
      <c r="Q556" t="s">
        <v>74</v>
      </c>
      <c r="R556" t="s">
        <v>74</v>
      </c>
      <c r="S556" t="s">
        <v>74</v>
      </c>
      <c r="T556" t="s">
        <v>8834</v>
      </c>
      <c r="U556" t="s">
        <v>8835</v>
      </c>
      <c r="V556" t="s">
        <v>8836</v>
      </c>
      <c r="W556" t="s">
        <v>8837</v>
      </c>
      <c r="X556" t="s">
        <v>8838</v>
      </c>
      <c r="Y556" t="s">
        <v>8839</v>
      </c>
      <c r="Z556" t="s">
        <v>8840</v>
      </c>
      <c r="AA556" t="s">
        <v>74</v>
      </c>
      <c r="AB556" t="s">
        <v>74</v>
      </c>
      <c r="AC556" t="s">
        <v>74</v>
      </c>
      <c r="AD556" t="s">
        <v>74</v>
      </c>
      <c r="AE556" t="s">
        <v>74</v>
      </c>
      <c r="AF556" t="s">
        <v>74</v>
      </c>
      <c r="AG556">
        <v>52</v>
      </c>
      <c r="AH556">
        <v>9</v>
      </c>
      <c r="AI556">
        <v>9</v>
      </c>
      <c r="AJ556">
        <v>0</v>
      </c>
      <c r="AK556">
        <v>3</v>
      </c>
      <c r="AL556" t="s">
        <v>159</v>
      </c>
      <c r="AM556" t="s">
        <v>160</v>
      </c>
      <c r="AN556" t="s">
        <v>161</v>
      </c>
      <c r="AO556" t="s">
        <v>8841</v>
      </c>
      <c r="AP556" t="s">
        <v>8842</v>
      </c>
      <c r="AQ556" t="s">
        <v>74</v>
      </c>
      <c r="AR556" t="s">
        <v>8843</v>
      </c>
      <c r="AS556" t="s">
        <v>8844</v>
      </c>
      <c r="AT556" t="s">
        <v>7963</v>
      </c>
      <c r="AU556">
        <v>2006</v>
      </c>
      <c r="AV556">
        <v>15</v>
      </c>
      <c r="AW556">
        <v>4</v>
      </c>
      <c r="AX556" t="s">
        <v>74</v>
      </c>
      <c r="AY556" t="s">
        <v>74</v>
      </c>
      <c r="AZ556" t="s">
        <v>74</v>
      </c>
      <c r="BA556" t="s">
        <v>74</v>
      </c>
      <c r="BB556">
        <v>503</v>
      </c>
      <c r="BC556">
        <v>516</v>
      </c>
      <c r="BD556" t="s">
        <v>74</v>
      </c>
      <c r="BE556" t="s">
        <v>8845</v>
      </c>
      <c r="BF556" t="str">
        <f>HYPERLINK("http://dx.doi.org/10.1111/j.1440-1738.2006.00547.x","http://dx.doi.org/10.1111/j.1440-1738.2006.00547.x")</f>
        <v>http://dx.doi.org/10.1111/j.1440-1738.2006.00547.x</v>
      </c>
      <c r="BG556" t="s">
        <v>74</v>
      </c>
      <c r="BH556" t="s">
        <v>74</v>
      </c>
      <c r="BI556">
        <v>14</v>
      </c>
      <c r="BJ556" t="s">
        <v>685</v>
      </c>
      <c r="BK556" t="s">
        <v>97</v>
      </c>
      <c r="BL556" t="s">
        <v>642</v>
      </c>
      <c r="BM556" t="s">
        <v>8846</v>
      </c>
      <c r="BN556" t="s">
        <v>74</v>
      </c>
      <c r="BO556" t="s">
        <v>74</v>
      </c>
      <c r="BP556" t="s">
        <v>74</v>
      </c>
      <c r="BQ556" t="s">
        <v>74</v>
      </c>
      <c r="BR556" t="s">
        <v>100</v>
      </c>
      <c r="BS556" t="s">
        <v>8847</v>
      </c>
      <c r="BT556" t="str">
        <f>HYPERLINK("https%3A%2F%2Fwww.webofscience.com%2Fwos%2Fwoscc%2Ffull-record%2FWOS:000241237000010","View Full Record in Web of Science")</f>
        <v>View Full Record in Web of Science</v>
      </c>
    </row>
    <row r="557" spans="1:72" x14ac:dyDescent="0.15">
      <c r="A557" t="s">
        <v>72</v>
      </c>
      <c r="B557" t="s">
        <v>8848</v>
      </c>
      <c r="C557" t="s">
        <v>74</v>
      </c>
      <c r="D557" t="s">
        <v>74</v>
      </c>
      <c r="E557" t="s">
        <v>74</v>
      </c>
      <c r="F557" t="s">
        <v>8849</v>
      </c>
      <c r="G557" t="s">
        <v>74</v>
      </c>
      <c r="H557" t="s">
        <v>74</v>
      </c>
      <c r="I557" t="s">
        <v>8850</v>
      </c>
      <c r="J557" t="s">
        <v>8851</v>
      </c>
      <c r="K557" t="s">
        <v>74</v>
      </c>
      <c r="L557" t="s">
        <v>74</v>
      </c>
      <c r="M557" t="s">
        <v>78</v>
      </c>
      <c r="N557" t="s">
        <v>79</v>
      </c>
      <c r="O557" t="s">
        <v>74</v>
      </c>
      <c r="P557" t="s">
        <v>74</v>
      </c>
      <c r="Q557" t="s">
        <v>74</v>
      </c>
      <c r="R557" t="s">
        <v>74</v>
      </c>
      <c r="S557" t="s">
        <v>74</v>
      </c>
      <c r="T557" t="s">
        <v>8852</v>
      </c>
      <c r="U557" t="s">
        <v>8853</v>
      </c>
      <c r="V557" t="s">
        <v>8854</v>
      </c>
      <c r="W557" t="s">
        <v>8855</v>
      </c>
      <c r="X557" t="s">
        <v>8856</v>
      </c>
      <c r="Y557" t="s">
        <v>8857</v>
      </c>
      <c r="Z557" t="s">
        <v>8858</v>
      </c>
      <c r="AA557" t="s">
        <v>74</v>
      </c>
      <c r="AB557" t="s">
        <v>74</v>
      </c>
      <c r="AC557" t="s">
        <v>74</v>
      </c>
      <c r="AD557" t="s">
        <v>74</v>
      </c>
      <c r="AE557" t="s">
        <v>74</v>
      </c>
      <c r="AF557" t="s">
        <v>74</v>
      </c>
      <c r="AG557">
        <v>33</v>
      </c>
      <c r="AH557">
        <v>4</v>
      </c>
      <c r="AI557">
        <v>5</v>
      </c>
      <c r="AJ557">
        <v>0</v>
      </c>
      <c r="AK557">
        <v>4</v>
      </c>
      <c r="AL557" t="s">
        <v>2428</v>
      </c>
      <c r="AM557" t="s">
        <v>2429</v>
      </c>
      <c r="AN557" t="s">
        <v>2430</v>
      </c>
      <c r="AO557" t="s">
        <v>8859</v>
      </c>
      <c r="AP557" t="s">
        <v>8860</v>
      </c>
      <c r="AQ557" t="s">
        <v>74</v>
      </c>
      <c r="AR557" t="s">
        <v>8861</v>
      </c>
      <c r="AS557" t="s">
        <v>8862</v>
      </c>
      <c r="AT557" t="s">
        <v>7963</v>
      </c>
      <c r="AU557">
        <v>2006</v>
      </c>
      <c r="AV557">
        <v>73</v>
      </c>
      <c r="AW557">
        <v>4</v>
      </c>
      <c r="AX557" t="s">
        <v>74</v>
      </c>
      <c r="AY557" t="s">
        <v>74</v>
      </c>
      <c r="AZ557" t="s">
        <v>74</v>
      </c>
      <c r="BA557" t="s">
        <v>74</v>
      </c>
      <c r="BB557">
        <v>303</v>
      </c>
      <c r="BC557">
        <v>308</v>
      </c>
      <c r="BD557" t="s">
        <v>74</v>
      </c>
      <c r="BE557" t="s">
        <v>8863</v>
      </c>
      <c r="BF557" t="str">
        <f>HYPERLINK("http://dx.doi.org/10.1080/11250000600918076","http://dx.doi.org/10.1080/11250000600918076")</f>
        <v>http://dx.doi.org/10.1080/11250000600918076</v>
      </c>
      <c r="BG557" t="s">
        <v>74</v>
      </c>
      <c r="BH557" t="s">
        <v>74</v>
      </c>
      <c r="BI557">
        <v>6</v>
      </c>
      <c r="BJ557" t="s">
        <v>596</v>
      </c>
      <c r="BK557" t="s">
        <v>97</v>
      </c>
      <c r="BL557" t="s">
        <v>596</v>
      </c>
      <c r="BM557" t="s">
        <v>8864</v>
      </c>
      <c r="BN557" t="s">
        <v>74</v>
      </c>
      <c r="BO557" t="s">
        <v>124</v>
      </c>
      <c r="BP557" t="s">
        <v>74</v>
      </c>
      <c r="BQ557" t="s">
        <v>74</v>
      </c>
      <c r="BR557" t="s">
        <v>100</v>
      </c>
      <c r="BS557" t="s">
        <v>8865</v>
      </c>
      <c r="BT557" t="str">
        <f>HYPERLINK("https%3A%2F%2Fwww.webofscience.com%2Fwos%2Fwoscc%2Ffull-record%2FWOS:000243290900002","View Full Record in Web of Science")</f>
        <v>View Full Record in Web of Science</v>
      </c>
    </row>
    <row r="558" spans="1:72" x14ac:dyDescent="0.15">
      <c r="A558" t="s">
        <v>72</v>
      </c>
      <c r="B558" t="s">
        <v>8866</v>
      </c>
      <c r="C558" t="s">
        <v>74</v>
      </c>
      <c r="D558" t="s">
        <v>74</v>
      </c>
      <c r="E558" t="s">
        <v>74</v>
      </c>
      <c r="F558" t="s">
        <v>8867</v>
      </c>
      <c r="G558" t="s">
        <v>74</v>
      </c>
      <c r="H558" t="s">
        <v>74</v>
      </c>
      <c r="I558" t="s">
        <v>8868</v>
      </c>
      <c r="J558" t="s">
        <v>8869</v>
      </c>
      <c r="K558" t="s">
        <v>74</v>
      </c>
      <c r="L558" t="s">
        <v>74</v>
      </c>
      <c r="M558" t="s">
        <v>78</v>
      </c>
      <c r="N558" t="s">
        <v>176</v>
      </c>
      <c r="O558" t="s">
        <v>8870</v>
      </c>
      <c r="P558">
        <v>2006</v>
      </c>
      <c r="Q558" t="s">
        <v>8871</v>
      </c>
      <c r="R558" t="s">
        <v>74</v>
      </c>
      <c r="S558" t="s">
        <v>74</v>
      </c>
      <c r="T558" t="s">
        <v>74</v>
      </c>
      <c r="U558" t="s">
        <v>8872</v>
      </c>
      <c r="V558" t="s">
        <v>8873</v>
      </c>
      <c r="W558" t="s">
        <v>8874</v>
      </c>
      <c r="X558" t="s">
        <v>8875</v>
      </c>
      <c r="Y558" t="s">
        <v>8876</v>
      </c>
      <c r="Z558" t="s">
        <v>8877</v>
      </c>
      <c r="AA558" t="s">
        <v>8878</v>
      </c>
      <c r="AB558" t="s">
        <v>8879</v>
      </c>
      <c r="AC558" t="s">
        <v>74</v>
      </c>
      <c r="AD558" t="s">
        <v>74</v>
      </c>
      <c r="AE558" t="s">
        <v>74</v>
      </c>
      <c r="AF558" t="s">
        <v>74</v>
      </c>
      <c r="AG558">
        <v>30</v>
      </c>
      <c r="AH558">
        <v>2</v>
      </c>
      <c r="AI558">
        <v>3</v>
      </c>
      <c r="AJ558">
        <v>1</v>
      </c>
      <c r="AK558">
        <v>6</v>
      </c>
      <c r="AL558" t="s">
        <v>2873</v>
      </c>
      <c r="AM558" t="s">
        <v>2874</v>
      </c>
      <c r="AN558" t="s">
        <v>2875</v>
      </c>
      <c r="AO558" t="s">
        <v>8880</v>
      </c>
      <c r="AP558" t="s">
        <v>74</v>
      </c>
      <c r="AQ558" t="s">
        <v>74</v>
      </c>
      <c r="AR558" t="s">
        <v>8881</v>
      </c>
      <c r="AS558" t="s">
        <v>8882</v>
      </c>
      <c r="AT558" t="s">
        <v>7963</v>
      </c>
      <c r="AU558">
        <v>2006</v>
      </c>
      <c r="AV558">
        <v>139</v>
      </c>
      <c r="AW558" t="s">
        <v>74</v>
      </c>
      <c r="AX558" t="s">
        <v>74</v>
      </c>
      <c r="AY558" t="s">
        <v>74</v>
      </c>
      <c r="AZ558" t="s">
        <v>74</v>
      </c>
      <c r="BA558" t="s">
        <v>74</v>
      </c>
      <c r="BB558">
        <v>175</v>
      </c>
      <c r="BC558">
        <v>183</v>
      </c>
      <c r="BD558" t="s">
        <v>74</v>
      </c>
      <c r="BE558" t="s">
        <v>8883</v>
      </c>
      <c r="BF558" t="str">
        <f>HYPERLINK("http://dx.doi.org/10.1051/jp4:2006139013","http://dx.doi.org/10.1051/jp4:2006139013")</f>
        <v>http://dx.doi.org/10.1051/jp4:2006139013</v>
      </c>
      <c r="BG558" t="s">
        <v>74</v>
      </c>
      <c r="BH558" t="s">
        <v>74</v>
      </c>
      <c r="BI558">
        <v>9</v>
      </c>
      <c r="BJ558" t="s">
        <v>5429</v>
      </c>
      <c r="BK558" t="s">
        <v>197</v>
      </c>
      <c r="BL558" t="s">
        <v>267</v>
      </c>
      <c r="BM558" t="s">
        <v>8884</v>
      </c>
      <c r="BN558" t="s">
        <v>74</v>
      </c>
      <c r="BO558" t="s">
        <v>1384</v>
      </c>
      <c r="BP558" t="s">
        <v>74</v>
      </c>
      <c r="BQ558" t="s">
        <v>74</v>
      </c>
      <c r="BR558" t="s">
        <v>100</v>
      </c>
      <c r="BS558" t="s">
        <v>8885</v>
      </c>
      <c r="BT558" t="str">
        <f>HYPERLINK("https%3A%2F%2Fwww.webofscience.com%2Fwos%2Fwoscc%2Ffull-record%2FWOS:000243690700013","View Full Record in Web of Science")</f>
        <v>View Full Record in Web of Science</v>
      </c>
    </row>
    <row r="559" spans="1:72" x14ac:dyDescent="0.15">
      <c r="A559" t="s">
        <v>72</v>
      </c>
      <c r="B559" t="s">
        <v>8886</v>
      </c>
      <c r="C559" t="s">
        <v>74</v>
      </c>
      <c r="D559" t="s">
        <v>74</v>
      </c>
      <c r="E559" t="s">
        <v>74</v>
      </c>
      <c r="F559" t="s">
        <v>8887</v>
      </c>
      <c r="G559" t="s">
        <v>74</v>
      </c>
      <c r="H559" t="s">
        <v>74</v>
      </c>
      <c r="I559" t="s">
        <v>8888</v>
      </c>
      <c r="J559" t="s">
        <v>8869</v>
      </c>
      <c r="K559" t="s">
        <v>74</v>
      </c>
      <c r="L559" t="s">
        <v>74</v>
      </c>
      <c r="M559" t="s">
        <v>78</v>
      </c>
      <c r="N559" t="s">
        <v>176</v>
      </c>
      <c r="O559" t="s">
        <v>8870</v>
      </c>
      <c r="P559">
        <v>2006</v>
      </c>
      <c r="Q559" t="s">
        <v>8871</v>
      </c>
      <c r="R559" t="s">
        <v>74</v>
      </c>
      <c r="S559" t="s">
        <v>74</v>
      </c>
      <c r="T559" t="s">
        <v>74</v>
      </c>
      <c r="U559" t="s">
        <v>8889</v>
      </c>
      <c r="V559" t="s">
        <v>8890</v>
      </c>
      <c r="W559" t="s">
        <v>4654</v>
      </c>
      <c r="X559" t="s">
        <v>514</v>
      </c>
      <c r="Y559" t="s">
        <v>8891</v>
      </c>
      <c r="Z559" t="s">
        <v>2350</v>
      </c>
      <c r="AA559" t="s">
        <v>2351</v>
      </c>
      <c r="AB559" t="s">
        <v>2352</v>
      </c>
      <c r="AC559" t="s">
        <v>3742</v>
      </c>
      <c r="AD559" t="s">
        <v>1254</v>
      </c>
      <c r="AE559" t="s">
        <v>74</v>
      </c>
      <c r="AF559" t="s">
        <v>74</v>
      </c>
      <c r="AG559">
        <v>43</v>
      </c>
      <c r="AH559">
        <v>1</v>
      </c>
      <c r="AI559">
        <v>2</v>
      </c>
      <c r="AJ559">
        <v>1</v>
      </c>
      <c r="AK559">
        <v>5</v>
      </c>
      <c r="AL559" t="s">
        <v>2873</v>
      </c>
      <c r="AM559" t="s">
        <v>2874</v>
      </c>
      <c r="AN559" t="s">
        <v>2875</v>
      </c>
      <c r="AO559" t="s">
        <v>8880</v>
      </c>
      <c r="AP559" t="s">
        <v>74</v>
      </c>
      <c r="AQ559" t="s">
        <v>74</v>
      </c>
      <c r="AR559" t="s">
        <v>8881</v>
      </c>
      <c r="AS559" t="s">
        <v>8882</v>
      </c>
      <c r="AT559" t="s">
        <v>7963</v>
      </c>
      <c r="AU559">
        <v>2006</v>
      </c>
      <c r="AV559">
        <v>139</v>
      </c>
      <c r="AW559" t="s">
        <v>74</v>
      </c>
      <c r="AX559" t="s">
        <v>74</v>
      </c>
      <c r="AY559" t="s">
        <v>74</v>
      </c>
      <c r="AZ559" t="s">
        <v>74</v>
      </c>
      <c r="BA559" t="s">
        <v>74</v>
      </c>
      <c r="BB559">
        <v>185</v>
      </c>
      <c r="BC559">
        <v>196</v>
      </c>
      <c r="BD559" t="s">
        <v>74</v>
      </c>
      <c r="BE559" t="s">
        <v>8892</v>
      </c>
      <c r="BF559" t="str">
        <f>HYPERLINK("http://dx.doi.org/10.1051/jp4:2006139014","http://dx.doi.org/10.1051/jp4:2006139014")</f>
        <v>http://dx.doi.org/10.1051/jp4:2006139014</v>
      </c>
      <c r="BG559" t="s">
        <v>74</v>
      </c>
      <c r="BH559" t="s">
        <v>74</v>
      </c>
      <c r="BI559">
        <v>12</v>
      </c>
      <c r="BJ559" t="s">
        <v>5429</v>
      </c>
      <c r="BK559" t="s">
        <v>197</v>
      </c>
      <c r="BL559" t="s">
        <v>267</v>
      </c>
      <c r="BM559" t="s">
        <v>8884</v>
      </c>
      <c r="BN559" t="s">
        <v>74</v>
      </c>
      <c r="BO559" t="s">
        <v>74</v>
      </c>
      <c r="BP559" t="s">
        <v>74</v>
      </c>
      <c r="BQ559" t="s">
        <v>74</v>
      </c>
      <c r="BR559" t="s">
        <v>100</v>
      </c>
      <c r="BS559" t="s">
        <v>8893</v>
      </c>
      <c r="BT559" t="str">
        <f>HYPERLINK("https%3A%2F%2Fwww.webofscience.com%2Fwos%2Fwoscc%2Ffull-record%2FWOS:000243690700014","View Full Record in Web of Science")</f>
        <v>View Full Record in Web of Science</v>
      </c>
    </row>
    <row r="560" spans="1:72" x14ac:dyDescent="0.15">
      <c r="A560" t="s">
        <v>72</v>
      </c>
      <c r="B560" t="s">
        <v>8894</v>
      </c>
      <c r="C560" t="s">
        <v>74</v>
      </c>
      <c r="D560" t="s">
        <v>74</v>
      </c>
      <c r="E560" t="s">
        <v>74</v>
      </c>
      <c r="F560" t="s">
        <v>8895</v>
      </c>
      <c r="G560" t="s">
        <v>74</v>
      </c>
      <c r="H560" t="s">
        <v>74</v>
      </c>
      <c r="I560" t="s">
        <v>8896</v>
      </c>
      <c r="J560" t="s">
        <v>8869</v>
      </c>
      <c r="K560" t="s">
        <v>74</v>
      </c>
      <c r="L560" t="s">
        <v>74</v>
      </c>
      <c r="M560" t="s">
        <v>78</v>
      </c>
      <c r="N560" t="s">
        <v>176</v>
      </c>
      <c r="O560" t="s">
        <v>8870</v>
      </c>
      <c r="P560">
        <v>2006</v>
      </c>
      <c r="Q560" t="s">
        <v>8871</v>
      </c>
      <c r="R560" t="s">
        <v>74</v>
      </c>
      <c r="S560" t="s">
        <v>74</v>
      </c>
      <c r="T560" t="s">
        <v>74</v>
      </c>
      <c r="U560" t="s">
        <v>8897</v>
      </c>
      <c r="V560" t="s">
        <v>8898</v>
      </c>
      <c r="W560" t="s">
        <v>8899</v>
      </c>
      <c r="X560" t="s">
        <v>8900</v>
      </c>
      <c r="Y560" t="s">
        <v>8901</v>
      </c>
      <c r="Z560" t="s">
        <v>74</v>
      </c>
      <c r="AA560" t="s">
        <v>8902</v>
      </c>
      <c r="AB560" t="s">
        <v>8903</v>
      </c>
      <c r="AC560" t="s">
        <v>74</v>
      </c>
      <c r="AD560" t="s">
        <v>74</v>
      </c>
      <c r="AE560" t="s">
        <v>74</v>
      </c>
      <c r="AF560" t="s">
        <v>74</v>
      </c>
      <c r="AG560">
        <v>155</v>
      </c>
      <c r="AH560">
        <v>3</v>
      </c>
      <c r="AI560">
        <v>3</v>
      </c>
      <c r="AJ560">
        <v>1</v>
      </c>
      <c r="AK560">
        <v>9</v>
      </c>
      <c r="AL560" t="s">
        <v>2873</v>
      </c>
      <c r="AM560" t="s">
        <v>2874</v>
      </c>
      <c r="AN560" t="s">
        <v>2875</v>
      </c>
      <c r="AO560" t="s">
        <v>8880</v>
      </c>
      <c r="AP560" t="s">
        <v>74</v>
      </c>
      <c r="AQ560" t="s">
        <v>74</v>
      </c>
      <c r="AR560" t="s">
        <v>8881</v>
      </c>
      <c r="AS560" t="s">
        <v>8882</v>
      </c>
      <c r="AT560" t="s">
        <v>7963</v>
      </c>
      <c r="AU560">
        <v>2006</v>
      </c>
      <c r="AV560">
        <v>139</v>
      </c>
      <c r="AW560" t="s">
        <v>74</v>
      </c>
      <c r="AX560" t="s">
        <v>74</v>
      </c>
      <c r="AY560" t="s">
        <v>74</v>
      </c>
      <c r="AZ560" t="s">
        <v>74</v>
      </c>
      <c r="BA560" t="s">
        <v>74</v>
      </c>
      <c r="BB560">
        <v>269</v>
      </c>
      <c r="BC560">
        <v>294</v>
      </c>
      <c r="BD560" t="s">
        <v>74</v>
      </c>
      <c r="BE560" t="s">
        <v>8904</v>
      </c>
      <c r="BF560" t="str">
        <f>HYPERLINK("http://dx.doi.org/10.1051/jp4:2006139019","http://dx.doi.org/10.1051/jp4:2006139019")</f>
        <v>http://dx.doi.org/10.1051/jp4:2006139019</v>
      </c>
      <c r="BG560" t="s">
        <v>74</v>
      </c>
      <c r="BH560" t="s">
        <v>74</v>
      </c>
      <c r="BI560">
        <v>26</v>
      </c>
      <c r="BJ560" t="s">
        <v>5429</v>
      </c>
      <c r="BK560" t="s">
        <v>197</v>
      </c>
      <c r="BL560" t="s">
        <v>267</v>
      </c>
      <c r="BM560" t="s">
        <v>8884</v>
      </c>
      <c r="BN560" t="s">
        <v>74</v>
      </c>
      <c r="BO560" t="s">
        <v>74</v>
      </c>
      <c r="BP560" t="s">
        <v>74</v>
      </c>
      <c r="BQ560" t="s">
        <v>74</v>
      </c>
      <c r="BR560" t="s">
        <v>100</v>
      </c>
      <c r="BS560" t="s">
        <v>8905</v>
      </c>
      <c r="BT560" t="str">
        <f>HYPERLINK("https%3A%2F%2Fwww.webofscience.com%2Fwos%2Fwoscc%2Ffull-record%2FWOS:000243690700019","View Full Record in Web of Science")</f>
        <v>View Full Record in Web of Science</v>
      </c>
    </row>
    <row r="561" spans="1:72" x14ac:dyDescent="0.15">
      <c r="A561" t="s">
        <v>72</v>
      </c>
      <c r="B561" t="s">
        <v>8906</v>
      </c>
      <c r="C561" t="s">
        <v>74</v>
      </c>
      <c r="D561" t="s">
        <v>74</v>
      </c>
      <c r="E561" t="s">
        <v>74</v>
      </c>
      <c r="F561" t="s">
        <v>8907</v>
      </c>
      <c r="G561" t="s">
        <v>74</v>
      </c>
      <c r="H561" t="s">
        <v>74</v>
      </c>
      <c r="I561" t="s">
        <v>8908</v>
      </c>
      <c r="J561" t="s">
        <v>8909</v>
      </c>
      <c r="K561" t="s">
        <v>74</v>
      </c>
      <c r="L561" t="s">
        <v>74</v>
      </c>
      <c r="M561" t="s">
        <v>78</v>
      </c>
      <c r="N561" t="s">
        <v>79</v>
      </c>
      <c r="O561" t="s">
        <v>74</v>
      </c>
      <c r="P561" t="s">
        <v>74</v>
      </c>
      <c r="Q561" t="s">
        <v>74</v>
      </c>
      <c r="R561" t="s">
        <v>74</v>
      </c>
      <c r="S561" t="s">
        <v>74</v>
      </c>
      <c r="T561" t="s">
        <v>8910</v>
      </c>
      <c r="U561" t="s">
        <v>8911</v>
      </c>
      <c r="V561" t="s">
        <v>8912</v>
      </c>
      <c r="W561" t="s">
        <v>8913</v>
      </c>
      <c r="X561" t="s">
        <v>8914</v>
      </c>
      <c r="Y561" t="s">
        <v>8915</v>
      </c>
      <c r="Z561" t="s">
        <v>8916</v>
      </c>
      <c r="AA561" t="s">
        <v>8917</v>
      </c>
      <c r="AB561" t="s">
        <v>8918</v>
      </c>
      <c r="AC561" t="s">
        <v>74</v>
      </c>
      <c r="AD561" t="s">
        <v>74</v>
      </c>
      <c r="AE561" t="s">
        <v>74</v>
      </c>
      <c r="AF561" t="s">
        <v>74</v>
      </c>
      <c r="AG561">
        <v>18</v>
      </c>
      <c r="AH561">
        <v>14</v>
      </c>
      <c r="AI561">
        <v>16</v>
      </c>
      <c r="AJ561">
        <v>3</v>
      </c>
      <c r="AK561">
        <v>25</v>
      </c>
      <c r="AL561" t="s">
        <v>613</v>
      </c>
      <c r="AM561" t="s">
        <v>614</v>
      </c>
      <c r="AN561" t="s">
        <v>1156</v>
      </c>
      <c r="AO561" t="s">
        <v>8919</v>
      </c>
      <c r="AP561" t="s">
        <v>74</v>
      </c>
      <c r="AQ561" t="s">
        <v>74</v>
      </c>
      <c r="AR561" t="s">
        <v>8920</v>
      </c>
      <c r="AS561" t="s">
        <v>8921</v>
      </c>
      <c r="AT561" t="s">
        <v>7963</v>
      </c>
      <c r="AU561">
        <v>2006</v>
      </c>
      <c r="AV561">
        <v>18</v>
      </c>
      <c r="AW561">
        <v>6</v>
      </c>
      <c r="AX561" t="s">
        <v>74</v>
      </c>
      <c r="AY561" t="s">
        <v>74</v>
      </c>
      <c r="AZ561" t="s">
        <v>74</v>
      </c>
      <c r="BA561" t="s">
        <v>74</v>
      </c>
      <c r="BB561">
        <v>783</v>
      </c>
      <c r="BC561">
        <v>786</v>
      </c>
      <c r="BD561" t="s">
        <v>74</v>
      </c>
      <c r="BE561" t="s">
        <v>8922</v>
      </c>
      <c r="BF561" t="str">
        <f>HYPERLINK("http://dx.doi.org/10.1007/s10811-006-9093-z","http://dx.doi.org/10.1007/s10811-006-9093-z")</f>
        <v>http://dx.doi.org/10.1007/s10811-006-9093-z</v>
      </c>
      <c r="BG561" t="s">
        <v>74</v>
      </c>
      <c r="BH561" t="s">
        <v>74</v>
      </c>
      <c r="BI561">
        <v>4</v>
      </c>
      <c r="BJ561" t="s">
        <v>8923</v>
      </c>
      <c r="BK561" t="s">
        <v>97</v>
      </c>
      <c r="BL561" t="s">
        <v>8923</v>
      </c>
      <c r="BM561" t="s">
        <v>8924</v>
      </c>
      <c r="BN561" t="s">
        <v>74</v>
      </c>
      <c r="BO561" t="s">
        <v>74</v>
      </c>
      <c r="BP561" t="s">
        <v>74</v>
      </c>
      <c r="BQ561" t="s">
        <v>74</v>
      </c>
      <c r="BR561" t="s">
        <v>100</v>
      </c>
      <c r="BS561" t="s">
        <v>8925</v>
      </c>
      <c r="BT561" t="str">
        <f>HYPERLINK("https%3A%2F%2Fwww.webofscience.com%2Fwos%2Fwoscc%2Ffull-record%2FWOS:000242285100009","View Full Record in Web of Science")</f>
        <v>View Full Record in Web of Science</v>
      </c>
    </row>
    <row r="562" spans="1:72" x14ac:dyDescent="0.15">
      <c r="A562" t="s">
        <v>72</v>
      </c>
      <c r="B562" t="s">
        <v>8926</v>
      </c>
      <c r="C562" t="s">
        <v>74</v>
      </c>
      <c r="D562" t="s">
        <v>74</v>
      </c>
      <c r="E562" t="s">
        <v>74</v>
      </c>
      <c r="F562" t="s">
        <v>8927</v>
      </c>
      <c r="G562" t="s">
        <v>74</v>
      </c>
      <c r="H562" t="s">
        <v>74</v>
      </c>
      <c r="I562" t="s">
        <v>8928</v>
      </c>
      <c r="J562" t="s">
        <v>8929</v>
      </c>
      <c r="K562" t="s">
        <v>74</v>
      </c>
      <c r="L562" t="s">
        <v>74</v>
      </c>
      <c r="M562" t="s">
        <v>78</v>
      </c>
      <c r="N562" t="s">
        <v>176</v>
      </c>
      <c r="O562" t="s">
        <v>8930</v>
      </c>
      <c r="P562" t="s">
        <v>8931</v>
      </c>
      <c r="Q562" t="s">
        <v>8932</v>
      </c>
      <c r="R562" t="s">
        <v>74</v>
      </c>
      <c r="S562" t="s">
        <v>74</v>
      </c>
      <c r="T562" t="s">
        <v>8933</v>
      </c>
      <c r="U562" t="s">
        <v>8934</v>
      </c>
      <c r="V562" t="s">
        <v>8935</v>
      </c>
      <c r="W562" t="s">
        <v>513</v>
      </c>
      <c r="X562" t="s">
        <v>514</v>
      </c>
      <c r="Y562" t="s">
        <v>8936</v>
      </c>
      <c r="Z562" t="s">
        <v>8937</v>
      </c>
      <c r="AA562" t="s">
        <v>74</v>
      </c>
      <c r="AB562" t="s">
        <v>74</v>
      </c>
      <c r="AC562" t="s">
        <v>7758</v>
      </c>
      <c r="AD562" t="s">
        <v>1254</v>
      </c>
      <c r="AE562" t="s">
        <v>74</v>
      </c>
      <c r="AF562" t="s">
        <v>74</v>
      </c>
      <c r="AG562">
        <v>38</v>
      </c>
      <c r="AH562">
        <v>23</v>
      </c>
      <c r="AI562">
        <v>23</v>
      </c>
      <c r="AJ562">
        <v>1</v>
      </c>
      <c r="AK562">
        <v>10</v>
      </c>
      <c r="AL562" t="s">
        <v>817</v>
      </c>
      <c r="AM562" t="s">
        <v>818</v>
      </c>
      <c r="AN562" t="s">
        <v>819</v>
      </c>
      <c r="AO562" t="s">
        <v>8938</v>
      </c>
      <c r="AP562" t="s">
        <v>74</v>
      </c>
      <c r="AQ562" t="s">
        <v>74</v>
      </c>
      <c r="AR562" t="s">
        <v>8939</v>
      </c>
      <c r="AS562" t="s">
        <v>8940</v>
      </c>
      <c r="AT562" t="s">
        <v>7963</v>
      </c>
      <c r="AU562">
        <v>2006</v>
      </c>
      <c r="AV562">
        <v>68</v>
      </c>
      <c r="AW562">
        <v>17</v>
      </c>
      <c r="AX562" t="s">
        <v>74</v>
      </c>
      <c r="AY562" t="s">
        <v>74</v>
      </c>
      <c r="AZ562" t="s">
        <v>74</v>
      </c>
      <c r="BA562" t="s">
        <v>74</v>
      </c>
      <c r="BB562">
        <v>1902</v>
      </c>
      <c r="BC562">
        <v>1912</v>
      </c>
      <c r="BD562" t="s">
        <v>74</v>
      </c>
      <c r="BE562" t="s">
        <v>8941</v>
      </c>
      <c r="BF562" t="str">
        <f>HYPERLINK("http://dx.doi.org/10.1016/j.jastp.2006.02.014","http://dx.doi.org/10.1016/j.jastp.2006.02.014")</f>
        <v>http://dx.doi.org/10.1016/j.jastp.2006.02.014</v>
      </c>
      <c r="BG562" t="s">
        <v>74</v>
      </c>
      <c r="BH562" t="s">
        <v>74</v>
      </c>
      <c r="BI562">
        <v>11</v>
      </c>
      <c r="BJ562" t="s">
        <v>8942</v>
      </c>
      <c r="BK562" t="s">
        <v>1847</v>
      </c>
      <c r="BL562" t="s">
        <v>8942</v>
      </c>
      <c r="BM562" t="s">
        <v>8943</v>
      </c>
      <c r="BN562" t="s">
        <v>74</v>
      </c>
      <c r="BO562" t="s">
        <v>74</v>
      </c>
      <c r="BP562" t="s">
        <v>74</v>
      </c>
      <c r="BQ562" t="s">
        <v>74</v>
      </c>
      <c r="BR562" t="s">
        <v>100</v>
      </c>
      <c r="BS562" t="s">
        <v>8944</v>
      </c>
      <c r="BT562" t="str">
        <f>HYPERLINK("https%3A%2F%2Fwww.webofscience.com%2Fwos%2Fwoscc%2Ffull-record%2FWOS:000245346400006","View Full Record in Web of Science")</f>
        <v>View Full Record in Web of Science</v>
      </c>
    </row>
    <row r="563" spans="1:72" x14ac:dyDescent="0.15">
      <c r="A563" t="s">
        <v>72</v>
      </c>
      <c r="B563" t="s">
        <v>8945</v>
      </c>
      <c r="C563" t="s">
        <v>74</v>
      </c>
      <c r="D563" t="s">
        <v>74</v>
      </c>
      <c r="E563" t="s">
        <v>74</v>
      </c>
      <c r="F563" t="s">
        <v>8946</v>
      </c>
      <c r="G563" t="s">
        <v>74</v>
      </c>
      <c r="H563" t="s">
        <v>74</v>
      </c>
      <c r="I563" t="s">
        <v>8947</v>
      </c>
      <c r="J563" t="s">
        <v>8929</v>
      </c>
      <c r="K563" t="s">
        <v>74</v>
      </c>
      <c r="L563" t="s">
        <v>74</v>
      </c>
      <c r="M563" t="s">
        <v>78</v>
      </c>
      <c r="N563" t="s">
        <v>176</v>
      </c>
      <c r="O563" t="s">
        <v>8930</v>
      </c>
      <c r="P563" t="s">
        <v>8931</v>
      </c>
      <c r="Q563" t="s">
        <v>8932</v>
      </c>
      <c r="R563" t="s">
        <v>74</v>
      </c>
      <c r="S563" t="s">
        <v>74</v>
      </c>
      <c r="T563" t="s">
        <v>8948</v>
      </c>
      <c r="U563" t="s">
        <v>8949</v>
      </c>
      <c r="V563" t="s">
        <v>8950</v>
      </c>
      <c r="W563" t="s">
        <v>6018</v>
      </c>
      <c r="X563" t="s">
        <v>6019</v>
      </c>
      <c r="Y563" t="s">
        <v>8951</v>
      </c>
      <c r="Z563" t="s">
        <v>8952</v>
      </c>
      <c r="AA563" t="s">
        <v>74</v>
      </c>
      <c r="AB563" t="s">
        <v>74</v>
      </c>
      <c r="AC563" t="s">
        <v>74</v>
      </c>
      <c r="AD563" t="s">
        <v>74</v>
      </c>
      <c r="AE563" t="s">
        <v>74</v>
      </c>
      <c r="AF563" t="s">
        <v>74</v>
      </c>
      <c r="AG563">
        <v>42</v>
      </c>
      <c r="AH563">
        <v>11</v>
      </c>
      <c r="AI563">
        <v>12</v>
      </c>
      <c r="AJ563">
        <v>0</v>
      </c>
      <c r="AK563">
        <v>3</v>
      </c>
      <c r="AL563" t="s">
        <v>817</v>
      </c>
      <c r="AM563" t="s">
        <v>818</v>
      </c>
      <c r="AN563" t="s">
        <v>819</v>
      </c>
      <c r="AO563" t="s">
        <v>8938</v>
      </c>
      <c r="AP563" t="s">
        <v>8953</v>
      </c>
      <c r="AQ563" t="s">
        <v>74</v>
      </c>
      <c r="AR563" t="s">
        <v>8939</v>
      </c>
      <c r="AS563" t="s">
        <v>8940</v>
      </c>
      <c r="AT563" t="s">
        <v>7963</v>
      </c>
      <c r="AU563">
        <v>2006</v>
      </c>
      <c r="AV563">
        <v>68</v>
      </c>
      <c r="AW563">
        <v>17</v>
      </c>
      <c r="AX563" t="s">
        <v>74</v>
      </c>
      <c r="AY563" t="s">
        <v>74</v>
      </c>
      <c r="AZ563" t="s">
        <v>74</v>
      </c>
      <c r="BA563" t="s">
        <v>74</v>
      </c>
      <c r="BB563">
        <v>1987</v>
      </c>
      <c r="BC563">
        <v>1999</v>
      </c>
      <c r="BD563" t="s">
        <v>74</v>
      </c>
      <c r="BE563" t="s">
        <v>8954</v>
      </c>
      <c r="BF563" t="str">
        <f>HYPERLINK("http://dx.doi.org/10.1016/j.jastp.2006.05.017","http://dx.doi.org/10.1016/j.jastp.2006.05.017")</f>
        <v>http://dx.doi.org/10.1016/j.jastp.2006.05.017</v>
      </c>
      <c r="BG563" t="s">
        <v>74</v>
      </c>
      <c r="BH563" t="s">
        <v>74</v>
      </c>
      <c r="BI563">
        <v>13</v>
      </c>
      <c r="BJ563" t="s">
        <v>8942</v>
      </c>
      <c r="BK563" t="s">
        <v>197</v>
      </c>
      <c r="BL563" t="s">
        <v>8942</v>
      </c>
      <c r="BM563" t="s">
        <v>8943</v>
      </c>
      <c r="BN563" t="s">
        <v>74</v>
      </c>
      <c r="BO563" t="s">
        <v>74</v>
      </c>
      <c r="BP563" t="s">
        <v>74</v>
      </c>
      <c r="BQ563" t="s">
        <v>74</v>
      </c>
      <c r="BR563" t="s">
        <v>100</v>
      </c>
      <c r="BS563" t="s">
        <v>8955</v>
      </c>
      <c r="BT563" t="str">
        <f>HYPERLINK("https%3A%2F%2Fwww.webofscience.com%2Fwos%2Fwoscc%2Ffull-record%2FWOS:000245346400015","View Full Record in Web of Science")</f>
        <v>View Full Record in Web of Science</v>
      </c>
    </row>
    <row r="564" spans="1:72" x14ac:dyDescent="0.15">
      <c r="A564" t="s">
        <v>72</v>
      </c>
      <c r="B564" t="s">
        <v>8956</v>
      </c>
      <c r="C564" t="s">
        <v>74</v>
      </c>
      <c r="D564" t="s">
        <v>74</v>
      </c>
      <c r="E564" t="s">
        <v>74</v>
      </c>
      <c r="F564" t="s">
        <v>8957</v>
      </c>
      <c r="G564" t="s">
        <v>74</v>
      </c>
      <c r="H564" t="s">
        <v>74</v>
      </c>
      <c r="I564" t="s">
        <v>8958</v>
      </c>
      <c r="J564" t="s">
        <v>8929</v>
      </c>
      <c r="K564" t="s">
        <v>74</v>
      </c>
      <c r="L564" t="s">
        <v>74</v>
      </c>
      <c r="M564" t="s">
        <v>78</v>
      </c>
      <c r="N564" t="s">
        <v>176</v>
      </c>
      <c r="O564" t="s">
        <v>8930</v>
      </c>
      <c r="P564" t="s">
        <v>8931</v>
      </c>
      <c r="Q564" t="s">
        <v>8932</v>
      </c>
      <c r="R564" t="s">
        <v>74</v>
      </c>
      <c r="S564" t="s">
        <v>74</v>
      </c>
      <c r="T564" t="s">
        <v>8959</v>
      </c>
      <c r="U564" t="s">
        <v>8960</v>
      </c>
      <c r="V564" t="s">
        <v>8961</v>
      </c>
      <c r="W564" t="s">
        <v>8962</v>
      </c>
      <c r="X564" t="s">
        <v>8963</v>
      </c>
      <c r="Y564" t="s">
        <v>8964</v>
      </c>
      <c r="Z564" t="s">
        <v>8965</v>
      </c>
      <c r="AA564" t="s">
        <v>8966</v>
      </c>
      <c r="AB564" t="s">
        <v>8967</v>
      </c>
      <c r="AC564" t="s">
        <v>74</v>
      </c>
      <c r="AD564" t="s">
        <v>74</v>
      </c>
      <c r="AE564" t="s">
        <v>74</v>
      </c>
      <c r="AF564" t="s">
        <v>74</v>
      </c>
      <c r="AG564">
        <v>15</v>
      </c>
      <c r="AH564">
        <v>11</v>
      </c>
      <c r="AI564">
        <v>12</v>
      </c>
      <c r="AJ564">
        <v>0</v>
      </c>
      <c r="AK564">
        <v>1</v>
      </c>
      <c r="AL564" t="s">
        <v>817</v>
      </c>
      <c r="AM564" t="s">
        <v>818</v>
      </c>
      <c r="AN564" t="s">
        <v>819</v>
      </c>
      <c r="AO564" t="s">
        <v>8938</v>
      </c>
      <c r="AP564" t="s">
        <v>8953</v>
      </c>
      <c r="AQ564" t="s">
        <v>74</v>
      </c>
      <c r="AR564" t="s">
        <v>8939</v>
      </c>
      <c r="AS564" t="s">
        <v>8940</v>
      </c>
      <c r="AT564" t="s">
        <v>7963</v>
      </c>
      <c r="AU564">
        <v>2006</v>
      </c>
      <c r="AV564">
        <v>68</v>
      </c>
      <c r="AW564">
        <v>17</v>
      </c>
      <c r="AX564" t="s">
        <v>74</v>
      </c>
      <c r="AY564" t="s">
        <v>74</v>
      </c>
      <c r="AZ564" t="s">
        <v>74</v>
      </c>
      <c r="BA564" t="s">
        <v>74</v>
      </c>
      <c r="BB564">
        <v>2042</v>
      </c>
      <c r="BC564">
        <v>2052</v>
      </c>
      <c r="BD564" t="s">
        <v>74</v>
      </c>
      <c r="BE564" t="s">
        <v>8968</v>
      </c>
      <c r="BF564" t="str">
        <f>HYPERLINK("http://dx.doi.org/10.1016/j.jastp.2006.03.010","http://dx.doi.org/10.1016/j.jastp.2006.03.010")</f>
        <v>http://dx.doi.org/10.1016/j.jastp.2006.03.010</v>
      </c>
      <c r="BG564" t="s">
        <v>74</v>
      </c>
      <c r="BH564" t="s">
        <v>74</v>
      </c>
      <c r="BI564">
        <v>11</v>
      </c>
      <c r="BJ564" t="s">
        <v>8942</v>
      </c>
      <c r="BK564" t="s">
        <v>197</v>
      </c>
      <c r="BL564" t="s">
        <v>8942</v>
      </c>
      <c r="BM564" t="s">
        <v>8943</v>
      </c>
      <c r="BN564" t="s">
        <v>74</v>
      </c>
      <c r="BO564" t="s">
        <v>74</v>
      </c>
      <c r="BP564" t="s">
        <v>74</v>
      </c>
      <c r="BQ564" t="s">
        <v>74</v>
      </c>
      <c r="BR564" t="s">
        <v>100</v>
      </c>
      <c r="BS564" t="s">
        <v>8969</v>
      </c>
      <c r="BT564" t="str">
        <f>HYPERLINK("https%3A%2F%2Fwww.webofscience.com%2Fwos%2Fwoscc%2Ffull-record%2FWOS:000245346400019","View Full Record in Web of Science")</f>
        <v>View Full Record in Web of Science</v>
      </c>
    </row>
    <row r="565" spans="1:72" x14ac:dyDescent="0.15">
      <c r="A565" t="s">
        <v>72</v>
      </c>
      <c r="B565" t="s">
        <v>8970</v>
      </c>
      <c r="C565" t="s">
        <v>74</v>
      </c>
      <c r="D565" t="s">
        <v>74</v>
      </c>
      <c r="E565" t="s">
        <v>74</v>
      </c>
      <c r="F565" t="s">
        <v>8971</v>
      </c>
      <c r="G565" t="s">
        <v>74</v>
      </c>
      <c r="H565" t="s">
        <v>74</v>
      </c>
      <c r="I565" t="s">
        <v>8972</v>
      </c>
      <c r="J565" t="s">
        <v>8973</v>
      </c>
      <c r="K565" t="s">
        <v>74</v>
      </c>
      <c r="L565" t="s">
        <v>74</v>
      </c>
      <c r="M565" t="s">
        <v>78</v>
      </c>
      <c r="N565" t="s">
        <v>79</v>
      </c>
      <c r="O565" t="s">
        <v>74</v>
      </c>
      <c r="P565" t="s">
        <v>74</v>
      </c>
      <c r="Q565" t="s">
        <v>74</v>
      </c>
      <c r="R565" t="s">
        <v>74</v>
      </c>
      <c r="S565" t="s">
        <v>74</v>
      </c>
      <c r="T565" t="s">
        <v>8974</v>
      </c>
      <c r="U565" t="s">
        <v>8975</v>
      </c>
      <c r="V565" t="s">
        <v>8976</v>
      </c>
      <c r="W565" t="s">
        <v>8977</v>
      </c>
      <c r="X565" t="s">
        <v>8978</v>
      </c>
      <c r="Y565" t="s">
        <v>8979</v>
      </c>
      <c r="Z565" t="s">
        <v>8980</v>
      </c>
      <c r="AA565" t="s">
        <v>74</v>
      </c>
      <c r="AB565" t="s">
        <v>74</v>
      </c>
      <c r="AC565" t="s">
        <v>74</v>
      </c>
      <c r="AD565" t="s">
        <v>74</v>
      </c>
      <c r="AE565" t="s">
        <v>74</v>
      </c>
      <c r="AF565" t="s">
        <v>74</v>
      </c>
      <c r="AG565">
        <v>36</v>
      </c>
      <c r="AH565">
        <v>4</v>
      </c>
      <c r="AI565">
        <v>4</v>
      </c>
      <c r="AJ565">
        <v>0</v>
      </c>
      <c r="AK565">
        <v>3</v>
      </c>
      <c r="AL565" t="s">
        <v>8981</v>
      </c>
      <c r="AM565" t="s">
        <v>7810</v>
      </c>
      <c r="AN565" t="s">
        <v>7811</v>
      </c>
      <c r="AO565" t="s">
        <v>8982</v>
      </c>
      <c r="AP565" t="s">
        <v>74</v>
      </c>
      <c r="AQ565" t="s">
        <v>74</v>
      </c>
      <c r="AR565" t="s">
        <v>8983</v>
      </c>
      <c r="AS565" t="s">
        <v>8984</v>
      </c>
      <c r="AT565" t="s">
        <v>7963</v>
      </c>
      <c r="AU565">
        <v>2006</v>
      </c>
      <c r="AV565">
        <v>115</v>
      </c>
      <c r="AW565">
        <v>6</v>
      </c>
      <c r="AX565" t="s">
        <v>74</v>
      </c>
      <c r="AY565" t="s">
        <v>74</v>
      </c>
      <c r="AZ565" t="s">
        <v>74</v>
      </c>
      <c r="BA565" t="s">
        <v>74</v>
      </c>
      <c r="BB565">
        <v>695</v>
      </c>
      <c r="BC565">
        <v>702</v>
      </c>
      <c r="BD565" t="s">
        <v>74</v>
      </c>
      <c r="BE565" t="s">
        <v>8985</v>
      </c>
      <c r="BF565" t="str">
        <f>HYPERLINK("http://dx.doi.org/10.1007/s12040-006-0003-1","http://dx.doi.org/10.1007/s12040-006-0003-1")</f>
        <v>http://dx.doi.org/10.1007/s12040-006-0003-1</v>
      </c>
      <c r="BG565" t="s">
        <v>74</v>
      </c>
      <c r="BH565" t="s">
        <v>74</v>
      </c>
      <c r="BI565">
        <v>8</v>
      </c>
      <c r="BJ565" t="s">
        <v>8986</v>
      </c>
      <c r="BK565" t="s">
        <v>97</v>
      </c>
      <c r="BL565" t="s">
        <v>8987</v>
      </c>
      <c r="BM565" t="s">
        <v>8988</v>
      </c>
      <c r="BN565" t="s">
        <v>74</v>
      </c>
      <c r="BO565" t="s">
        <v>124</v>
      </c>
      <c r="BP565" t="s">
        <v>74</v>
      </c>
      <c r="BQ565" t="s">
        <v>74</v>
      </c>
      <c r="BR565" t="s">
        <v>100</v>
      </c>
      <c r="BS565" t="s">
        <v>8989</v>
      </c>
      <c r="BT565" t="str">
        <f>HYPERLINK("https%3A%2F%2Fwww.webofscience.com%2Fwos%2Fwoscc%2Ffull-record%2FWOS:000243119800007","View Full Record in Web of Science")</f>
        <v>View Full Record in Web of Science</v>
      </c>
    </row>
    <row r="566" spans="1:72" x14ac:dyDescent="0.15">
      <c r="A566" t="s">
        <v>72</v>
      </c>
      <c r="B566" t="s">
        <v>8990</v>
      </c>
      <c r="C566" t="s">
        <v>74</v>
      </c>
      <c r="D566" t="s">
        <v>74</v>
      </c>
      <c r="E566" t="s">
        <v>74</v>
      </c>
      <c r="F566" t="s">
        <v>8991</v>
      </c>
      <c r="G566" t="s">
        <v>74</v>
      </c>
      <c r="H566" t="s">
        <v>74</v>
      </c>
      <c r="I566" t="s">
        <v>8992</v>
      </c>
      <c r="J566" t="s">
        <v>8993</v>
      </c>
      <c r="K566" t="s">
        <v>74</v>
      </c>
      <c r="L566" t="s">
        <v>74</v>
      </c>
      <c r="M566" t="s">
        <v>78</v>
      </c>
      <c r="N566" t="s">
        <v>79</v>
      </c>
      <c r="O566" t="s">
        <v>74</v>
      </c>
      <c r="P566" t="s">
        <v>74</v>
      </c>
      <c r="Q566" t="s">
        <v>74</v>
      </c>
      <c r="R566" t="s">
        <v>74</v>
      </c>
      <c r="S566" t="s">
        <v>74</v>
      </c>
      <c r="T566" t="s">
        <v>74</v>
      </c>
      <c r="U566" t="s">
        <v>8994</v>
      </c>
      <c r="V566" t="s">
        <v>8995</v>
      </c>
      <c r="W566" t="s">
        <v>8996</v>
      </c>
      <c r="X566" t="s">
        <v>8997</v>
      </c>
      <c r="Y566" t="s">
        <v>8998</v>
      </c>
      <c r="Z566" t="s">
        <v>8999</v>
      </c>
      <c r="AA566" t="s">
        <v>74</v>
      </c>
      <c r="AB566" t="s">
        <v>9000</v>
      </c>
      <c r="AC566" t="s">
        <v>9001</v>
      </c>
      <c r="AD566" t="s">
        <v>9002</v>
      </c>
      <c r="AE566" t="s">
        <v>74</v>
      </c>
      <c r="AF566" t="s">
        <v>74</v>
      </c>
      <c r="AG566">
        <v>31</v>
      </c>
      <c r="AH566">
        <v>41</v>
      </c>
      <c r="AI566">
        <v>42</v>
      </c>
      <c r="AJ566">
        <v>0</v>
      </c>
      <c r="AK566">
        <v>1</v>
      </c>
      <c r="AL566" t="s">
        <v>7239</v>
      </c>
      <c r="AM566" t="s">
        <v>5498</v>
      </c>
      <c r="AN566" t="s">
        <v>7240</v>
      </c>
      <c r="AO566" t="s">
        <v>9003</v>
      </c>
      <c r="AP566" t="s">
        <v>9004</v>
      </c>
      <c r="AQ566" t="s">
        <v>74</v>
      </c>
      <c r="AR566" t="s">
        <v>9005</v>
      </c>
      <c r="AS566" t="s">
        <v>9006</v>
      </c>
      <c r="AT566" t="s">
        <v>8268</v>
      </c>
      <c r="AU566">
        <v>2006</v>
      </c>
      <c r="AV566">
        <v>111</v>
      </c>
      <c r="AW566" t="s">
        <v>9007</v>
      </c>
      <c r="AX566" t="s">
        <v>74</v>
      </c>
      <c r="AY566" t="s">
        <v>74</v>
      </c>
      <c r="AZ566" t="s">
        <v>74</v>
      </c>
      <c r="BA566" t="s">
        <v>74</v>
      </c>
      <c r="BB566" t="s">
        <v>74</v>
      </c>
      <c r="BC566" t="s">
        <v>74</v>
      </c>
      <c r="BD566" t="s">
        <v>9008</v>
      </c>
      <c r="BE566" t="s">
        <v>9009</v>
      </c>
      <c r="BF566" t="str">
        <f>HYPERLINK("http://dx.doi.org/10.1029/2006JA011949","http://dx.doi.org/10.1029/2006JA011949")</f>
        <v>http://dx.doi.org/10.1029/2006JA011949</v>
      </c>
      <c r="BG566" t="s">
        <v>74</v>
      </c>
      <c r="BH566" t="s">
        <v>74</v>
      </c>
      <c r="BI566">
        <v>10</v>
      </c>
      <c r="BJ566" t="s">
        <v>801</v>
      </c>
      <c r="BK566" t="s">
        <v>97</v>
      </c>
      <c r="BL566" t="s">
        <v>801</v>
      </c>
      <c r="BM566" t="s">
        <v>9010</v>
      </c>
      <c r="BN566" t="s">
        <v>74</v>
      </c>
      <c r="BO566" t="s">
        <v>7456</v>
      </c>
      <c r="BP566" t="s">
        <v>74</v>
      </c>
      <c r="BQ566" t="s">
        <v>74</v>
      </c>
      <c r="BR566" t="s">
        <v>100</v>
      </c>
      <c r="BS566" t="s">
        <v>9011</v>
      </c>
      <c r="BT566" t="str">
        <f>HYPERLINK("https%3A%2F%2Fwww.webofscience.com%2Fwos%2Fwoscc%2Ffull-record%2FWOS:000242746900007","View Full Record in Web of Science")</f>
        <v>View Full Record in Web of Science</v>
      </c>
    </row>
    <row r="567" spans="1:72" x14ac:dyDescent="0.15">
      <c r="A567" t="s">
        <v>72</v>
      </c>
      <c r="B567" t="s">
        <v>9012</v>
      </c>
      <c r="C567" t="s">
        <v>74</v>
      </c>
      <c r="D567" t="s">
        <v>74</v>
      </c>
      <c r="E567" t="s">
        <v>74</v>
      </c>
      <c r="F567" t="s">
        <v>9013</v>
      </c>
      <c r="G567" t="s">
        <v>74</v>
      </c>
      <c r="H567" t="s">
        <v>74</v>
      </c>
      <c r="I567" t="s">
        <v>9014</v>
      </c>
      <c r="J567" t="s">
        <v>8993</v>
      </c>
      <c r="K567" t="s">
        <v>74</v>
      </c>
      <c r="L567" t="s">
        <v>74</v>
      </c>
      <c r="M567" t="s">
        <v>78</v>
      </c>
      <c r="N567" t="s">
        <v>79</v>
      </c>
      <c r="O567" t="s">
        <v>74</v>
      </c>
      <c r="P567" t="s">
        <v>74</v>
      </c>
      <c r="Q567" t="s">
        <v>74</v>
      </c>
      <c r="R567" t="s">
        <v>74</v>
      </c>
      <c r="S567" t="s">
        <v>74</v>
      </c>
      <c r="T567" t="s">
        <v>74</v>
      </c>
      <c r="U567" t="s">
        <v>9015</v>
      </c>
      <c r="V567" t="s">
        <v>9016</v>
      </c>
      <c r="W567" t="s">
        <v>9017</v>
      </c>
      <c r="X567" t="s">
        <v>9018</v>
      </c>
      <c r="Y567" t="s">
        <v>8998</v>
      </c>
      <c r="Z567" t="s">
        <v>8999</v>
      </c>
      <c r="AA567" t="s">
        <v>74</v>
      </c>
      <c r="AB567" t="s">
        <v>9019</v>
      </c>
      <c r="AC567" t="s">
        <v>9020</v>
      </c>
      <c r="AD567" t="s">
        <v>9021</v>
      </c>
      <c r="AE567" t="s">
        <v>74</v>
      </c>
      <c r="AF567" t="s">
        <v>74</v>
      </c>
      <c r="AG567">
        <v>50</v>
      </c>
      <c r="AH567">
        <v>73</v>
      </c>
      <c r="AI567">
        <v>78</v>
      </c>
      <c r="AJ567">
        <v>0</v>
      </c>
      <c r="AK567">
        <v>7</v>
      </c>
      <c r="AL567" t="s">
        <v>7239</v>
      </c>
      <c r="AM567" t="s">
        <v>5498</v>
      </c>
      <c r="AN567" t="s">
        <v>7240</v>
      </c>
      <c r="AO567" t="s">
        <v>9003</v>
      </c>
      <c r="AP567" t="s">
        <v>9004</v>
      </c>
      <c r="AQ567" t="s">
        <v>74</v>
      </c>
      <c r="AR567" t="s">
        <v>9005</v>
      </c>
      <c r="AS567" t="s">
        <v>9006</v>
      </c>
      <c r="AT567" t="s">
        <v>8268</v>
      </c>
      <c r="AU567">
        <v>2006</v>
      </c>
      <c r="AV567">
        <v>111</v>
      </c>
      <c r="AW567" t="s">
        <v>9007</v>
      </c>
      <c r="AX567" t="s">
        <v>74</v>
      </c>
      <c r="AY567" t="s">
        <v>74</v>
      </c>
      <c r="AZ567" t="s">
        <v>74</v>
      </c>
      <c r="BA567" t="s">
        <v>74</v>
      </c>
      <c r="BB567" t="s">
        <v>74</v>
      </c>
      <c r="BC567" t="s">
        <v>74</v>
      </c>
      <c r="BD567" t="s">
        <v>9022</v>
      </c>
      <c r="BE567" t="s">
        <v>9023</v>
      </c>
      <c r="BF567" t="str">
        <f>HYPERLINK("http://dx.doi.org/10.1029/2006JA011948","http://dx.doi.org/10.1029/2006JA011948")</f>
        <v>http://dx.doi.org/10.1029/2006JA011948</v>
      </c>
      <c r="BG567" t="s">
        <v>74</v>
      </c>
      <c r="BH567" t="s">
        <v>74</v>
      </c>
      <c r="BI567">
        <v>13</v>
      </c>
      <c r="BJ567" t="s">
        <v>801</v>
      </c>
      <c r="BK567" t="s">
        <v>97</v>
      </c>
      <c r="BL567" t="s">
        <v>801</v>
      </c>
      <c r="BM567" t="s">
        <v>9010</v>
      </c>
      <c r="BN567" t="s">
        <v>74</v>
      </c>
      <c r="BO567" t="s">
        <v>7472</v>
      </c>
      <c r="BP567" t="s">
        <v>74</v>
      </c>
      <c r="BQ567" t="s">
        <v>74</v>
      </c>
      <c r="BR567" t="s">
        <v>100</v>
      </c>
      <c r="BS567" t="s">
        <v>9024</v>
      </c>
      <c r="BT567" t="str">
        <f>HYPERLINK("https%3A%2F%2Fwww.webofscience.com%2Fwos%2Fwoscc%2Ffull-record%2FWOS:000242746900006","View Full Record in Web of Science")</f>
        <v>View Full Record in Web of Science</v>
      </c>
    </row>
    <row r="568" spans="1:72" x14ac:dyDescent="0.15">
      <c r="A568" t="s">
        <v>72</v>
      </c>
      <c r="B568" t="s">
        <v>9025</v>
      </c>
      <c r="C568" t="s">
        <v>74</v>
      </c>
      <c r="D568" t="s">
        <v>74</v>
      </c>
      <c r="E568" t="s">
        <v>74</v>
      </c>
      <c r="F568" t="s">
        <v>9026</v>
      </c>
      <c r="G568" t="s">
        <v>74</v>
      </c>
      <c r="H568" t="s">
        <v>74</v>
      </c>
      <c r="I568" t="s">
        <v>9027</v>
      </c>
      <c r="J568" t="s">
        <v>9028</v>
      </c>
      <c r="K568" t="s">
        <v>74</v>
      </c>
      <c r="L568" t="s">
        <v>74</v>
      </c>
      <c r="M568" t="s">
        <v>78</v>
      </c>
      <c r="N568" t="s">
        <v>79</v>
      </c>
      <c r="O568" t="s">
        <v>74</v>
      </c>
      <c r="P568" t="s">
        <v>74</v>
      </c>
      <c r="Q568" t="s">
        <v>74</v>
      </c>
      <c r="R568" t="s">
        <v>74</v>
      </c>
      <c r="S568" t="s">
        <v>74</v>
      </c>
      <c r="T568" t="s">
        <v>9029</v>
      </c>
      <c r="U568" t="s">
        <v>9030</v>
      </c>
      <c r="V568" t="s">
        <v>9031</v>
      </c>
      <c r="W568" t="s">
        <v>9032</v>
      </c>
      <c r="X568" t="s">
        <v>9033</v>
      </c>
      <c r="Y568" t="s">
        <v>9034</v>
      </c>
      <c r="Z568" t="s">
        <v>9035</v>
      </c>
      <c r="AA568" t="s">
        <v>9036</v>
      </c>
      <c r="AB568" t="s">
        <v>9037</v>
      </c>
      <c r="AC568" t="s">
        <v>74</v>
      </c>
      <c r="AD568" t="s">
        <v>74</v>
      </c>
      <c r="AE568" t="s">
        <v>74</v>
      </c>
      <c r="AF568" t="s">
        <v>74</v>
      </c>
      <c r="AG568">
        <v>88</v>
      </c>
      <c r="AH568">
        <v>46</v>
      </c>
      <c r="AI568">
        <v>56</v>
      </c>
      <c r="AJ568">
        <v>0</v>
      </c>
      <c r="AK568">
        <v>10</v>
      </c>
      <c r="AL568" t="s">
        <v>159</v>
      </c>
      <c r="AM568" t="s">
        <v>160</v>
      </c>
      <c r="AN568" t="s">
        <v>161</v>
      </c>
      <c r="AO568" t="s">
        <v>9038</v>
      </c>
      <c r="AP568" t="s">
        <v>9039</v>
      </c>
      <c r="AQ568" t="s">
        <v>74</v>
      </c>
      <c r="AR568" t="s">
        <v>9040</v>
      </c>
      <c r="AS568" t="s">
        <v>9041</v>
      </c>
      <c r="AT568" t="s">
        <v>7963</v>
      </c>
      <c r="AU568">
        <v>2006</v>
      </c>
      <c r="AV568">
        <v>42</v>
      </c>
      <c r="AW568">
        <v>6</v>
      </c>
      <c r="AX568" t="s">
        <v>74</v>
      </c>
      <c r="AY568" t="s">
        <v>74</v>
      </c>
      <c r="AZ568" t="s">
        <v>74</v>
      </c>
      <c r="BA568" t="s">
        <v>74</v>
      </c>
      <c r="BB568">
        <v>1174</v>
      </c>
      <c r="BC568">
        <v>1183</v>
      </c>
      <c r="BD568" t="s">
        <v>74</v>
      </c>
      <c r="BE568" t="s">
        <v>9042</v>
      </c>
      <c r="BF568" t="str">
        <f>HYPERLINK("http://dx.doi.org/10.1111/j.1529-8817.2006.00283.x","http://dx.doi.org/10.1111/j.1529-8817.2006.00283.x")</f>
        <v>http://dx.doi.org/10.1111/j.1529-8817.2006.00283.x</v>
      </c>
      <c r="BG568" t="s">
        <v>74</v>
      </c>
      <c r="BH568" t="s">
        <v>74</v>
      </c>
      <c r="BI568">
        <v>10</v>
      </c>
      <c r="BJ568" t="s">
        <v>2436</v>
      </c>
      <c r="BK568" t="s">
        <v>97</v>
      </c>
      <c r="BL568" t="s">
        <v>2436</v>
      </c>
      <c r="BM568" t="s">
        <v>9043</v>
      </c>
      <c r="BN568" t="s">
        <v>74</v>
      </c>
      <c r="BO568" t="s">
        <v>74</v>
      </c>
      <c r="BP568" t="s">
        <v>74</v>
      </c>
      <c r="BQ568" t="s">
        <v>74</v>
      </c>
      <c r="BR568" t="s">
        <v>100</v>
      </c>
      <c r="BS568" t="s">
        <v>9044</v>
      </c>
      <c r="BT568" t="str">
        <f>HYPERLINK("https%3A%2F%2Fwww.webofscience.com%2Fwos%2Fwoscc%2Ffull-record%2FWOS:000242835000003","View Full Record in Web of Science")</f>
        <v>View Full Record in Web of Science</v>
      </c>
    </row>
    <row r="569" spans="1:72" x14ac:dyDescent="0.15">
      <c r="A569" t="s">
        <v>72</v>
      </c>
      <c r="B569" t="s">
        <v>9045</v>
      </c>
      <c r="C569" t="s">
        <v>74</v>
      </c>
      <c r="D569" t="s">
        <v>74</v>
      </c>
      <c r="E569" t="s">
        <v>74</v>
      </c>
      <c r="F569" t="s">
        <v>9046</v>
      </c>
      <c r="G569" t="s">
        <v>74</v>
      </c>
      <c r="H569" t="s">
        <v>74</v>
      </c>
      <c r="I569" t="s">
        <v>9047</v>
      </c>
      <c r="J569" t="s">
        <v>9028</v>
      </c>
      <c r="K569" t="s">
        <v>74</v>
      </c>
      <c r="L569" t="s">
        <v>74</v>
      </c>
      <c r="M569" t="s">
        <v>78</v>
      </c>
      <c r="N569" t="s">
        <v>79</v>
      </c>
      <c r="O569" t="s">
        <v>74</v>
      </c>
      <c r="P569" t="s">
        <v>74</v>
      </c>
      <c r="Q569" t="s">
        <v>74</v>
      </c>
      <c r="R569" t="s">
        <v>74</v>
      </c>
      <c r="S569" t="s">
        <v>74</v>
      </c>
      <c r="T569" t="s">
        <v>9048</v>
      </c>
      <c r="U569" t="s">
        <v>9049</v>
      </c>
      <c r="V569" t="s">
        <v>9050</v>
      </c>
      <c r="W569" t="s">
        <v>9051</v>
      </c>
      <c r="X569" t="s">
        <v>9052</v>
      </c>
      <c r="Y569" t="s">
        <v>9053</v>
      </c>
      <c r="Z569" t="s">
        <v>9054</v>
      </c>
      <c r="AA569" t="s">
        <v>9055</v>
      </c>
      <c r="AB569" t="s">
        <v>9056</v>
      </c>
      <c r="AC569" t="s">
        <v>3742</v>
      </c>
      <c r="AD569" t="s">
        <v>1254</v>
      </c>
      <c r="AE569" t="s">
        <v>74</v>
      </c>
      <c r="AF569" t="s">
        <v>74</v>
      </c>
      <c r="AG569">
        <v>49</v>
      </c>
      <c r="AH569">
        <v>177</v>
      </c>
      <c r="AI569">
        <v>191</v>
      </c>
      <c r="AJ569">
        <v>1</v>
      </c>
      <c r="AK569">
        <v>45</v>
      </c>
      <c r="AL569" t="s">
        <v>159</v>
      </c>
      <c r="AM569" t="s">
        <v>160</v>
      </c>
      <c r="AN569" t="s">
        <v>161</v>
      </c>
      <c r="AO569" t="s">
        <v>9038</v>
      </c>
      <c r="AP569" t="s">
        <v>9039</v>
      </c>
      <c r="AQ569" t="s">
        <v>74</v>
      </c>
      <c r="AR569" t="s">
        <v>9040</v>
      </c>
      <c r="AS569" t="s">
        <v>9041</v>
      </c>
      <c r="AT569" t="s">
        <v>7963</v>
      </c>
      <c r="AU569">
        <v>2006</v>
      </c>
      <c r="AV569">
        <v>42</v>
      </c>
      <c r="AW569">
        <v>6</v>
      </c>
      <c r="AX569" t="s">
        <v>74</v>
      </c>
      <c r="AY569" t="s">
        <v>74</v>
      </c>
      <c r="AZ569" t="s">
        <v>74</v>
      </c>
      <c r="BA569" t="s">
        <v>74</v>
      </c>
      <c r="BB569">
        <v>1257</v>
      </c>
      <c r="BC569">
        <v>1270</v>
      </c>
      <c r="BD569" t="s">
        <v>74</v>
      </c>
      <c r="BE569" t="s">
        <v>9057</v>
      </c>
      <c r="BF569" t="str">
        <f>HYPERLINK("http://dx.doi.org/10.1111/j.1529-8817.2006.00278.x","http://dx.doi.org/10.1111/j.1529-8817.2006.00278.x")</f>
        <v>http://dx.doi.org/10.1111/j.1529-8817.2006.00278.x</v>
      </c>
      <c r="BG569" t="s">
        <v>74</v>
      </c>
      <c r="BH569" t="s">
        <v>74</v>
      </c>
      <c r="BI569">
        <v>14</v>
      </c>
      <c r="BJ569" t="s">
        <v>2436</v>
      </c>
      <c r="BK569" t="s">
        <v>97</v>
      </c>
      <c r="BL569" t="s">
        <v>2436</v>
      </c>
      <c r="BM569" t="s">
        <v>9043</v>
      </c>
      <c r="BN569" t="s">
        <v>74</v>
      </c>
      <c r="BO569" t="s">
        <v>1384</v>
      </c>
      <c r="BP569" t="s">
        <v>74</v>
      </c>
      <c r="BQ569" t="s">
        <v>74</v>
      </c>
      <c r="BR569" t="s">
        <v>100</v>
      </c>
      <c r="BS569" t="s">
        <v>9058</v>
      </c>
      <c r="BT569" t="str">
        <f>HYPERLINK("https%3A%2F%2Fwww.webofscience.com%2Fwos%2Fwoscc%2Ffull-record%2FWOS:000242835000012","View Full Record in Web of Science")</f>
        <v>View Full Record in Web of Science</v>
      </c>
    </row>
    <row r="570" spans="1:72" x14ac:dyDescent="0.15">
      <c r="A570" t="s">
        <v>72</v>
      </c>
      <c r="B570" t="s">
        <v>9059</v>
      </c>
      <c r="C570" t="s">
        <v>74</v>
      </c>
      <c r="D570" t="s">
        <v>74</v>
      </c>
      <c r="E570" t="s">
        <v>74</v>
      </c>
      <c r="F570" t="s">
        <v>9060</v>
      </c>
      <c r="G570" t="s">
        <v>74</v>
      </c>
      <c r="H570" t="s">
        <v>74</v>
      </c>
      <c r="I570" t="s">
        <v>9061</v>
      </c>
      <c r="J570" t="s">
        <v>4055</v>
      </c>
      <c r="K570" t="s">
        <v>74</v>
      </c>
      <c r="L570" t="s">
        <v>74</v>
      </c>
      <c r="M570" t="s">
        <v>78</v>
      </c>
      <c r="N570" t="s">
        <v>79</v>
      </c>
      <c r="O570" t="s">
        <v>74</v>
      </c>
      <c r="P570" t="s">
        <v>74</v>
      </c>
      <c r="Q570" t="s">
        <v>74</v>
      </c>
      <c r="R570" t="s">
        <v>74</v>
      </c>
      <c r="S570" t="s">
        <v>74</v>
      </c>
      <c r="T570" t="s">
        <v>74</v>
      </c>
      <c r="U570" t="s">
        <v>9062</v>
      </c>
      <c r="V570" t="s">
        <v>9063</v>
      </c>
      <c r="W570" t="s">
        <v>9064</v>
      </c>
      <c r="X570" t="s">
        <v>9065</v>
      </c>
      <c r="Y570" t="s">
        <v>9066</v>
      </c>
      <c r="Z570" t="s">
        <v>9067</v>
      </c>
      <c r="AA570" t="s">
        <v>9068</v>
      </c>
      <c r="AB570" t="s">
        <v>9069</v>
      </c>
      <c r="AC570" t="s">
        <v>74</v>
      </c>
      <c r="AD570" t="s">
        <v>74</v>
      </c>
      <c r="AE570" t="s">
        <v>74</v>
      </c>
      <c r="AF570" t="s">
        <v>74</v>
      </c>
      <c r="AG570">
        <v>70</v>
      </c>
      <c r="AH570">
        <v>362</v>
      </c>
      <c r="AI570">
        <v>392</v>
      </c>
      <c r="AJ570">
        <v>2</v>
      </c>
      <c r="AK570">
        <v>49</v>
      </c>
      <c r="AL570" t="s">
        <v>4064</v>
      </c>
      <c r="AM570" t="s">
        <v>4065</v>
      </c>
      <c r="AN570" t="s">
        <v>4097</v>
      </c>
      <c r="AO570" t="s">
        <v>4067</v>
      </c>
      <c r="AP570" t="s">
        <v>4068</v>
      </c>
      <c r="AQ570" t="s">
        <v>74</v>
      </c>
      <c r="AR570" t="s">
        <v>4069</v>
      </c>
      <c r="AS570" t="s">
        <v>4070</v>
      </c>
      <c r="AT570" t="s">
        <v>7963</v>
      </c>
      <c r="AU570">
        <v>2006</v>
      </c>
      <c r="AV570">
        <v>36</v>
      </c>
      <c r="AW570">
        <v>12</v>
      </c>
      <c r="AX570" t="s">
        <v>74</v>
      </c>
      <c r="AY570" t="s">
        <v>74</v>
      </c>
      <c r="AZ570" t="s">
        <v>74</v>
      </c>
      <c r="BA570" t="s">
        <v>74</v>
      </c>
      <c r="BB570">
        <v>2232</v>
      </c>
      <c r="BC570">
        <v>2252</v>
      </c>
      <c r="BD570" t="s">
        <v>74</v>
      </c>
      <c r="BE570" t="s">
        <v>9070</v>
      </c>
      <c r="BF570" t="str">
        <f>HYPERLINK("http://dx.doi.org/10.1175/JPO2980.1","http://dx.doi.org/10.1175/JPO2980.1")</f>
        <v>http://dx.doi.org/10.1175/JPO2980.1</v>
      </c>
      <c r="BG570" t="s">
        <v>74</v>
      </c>
      <c r="BH570" t="s">
        <v>74</v>
      </c>
      <c r="BI570">
        <v>21</v>
      </c>
      <c r="BJ570" t="s">
        <v>1260</v>
      </c>
      <c r="BK570" t="s">
        <v>97</v>
      </c>
      <c r="BL570" t="s">
        <v>1260</v>
      </c>
      <c r="BM570" t="s">
        <v>9071</v>
      </c>
      <c r="BN570" t="s">
        <v>74</v>
      </c>
      <c r="BO570" t="s">
        <v>124</v>
      </c>
      <c r="BP570" t="s">
        <v>74</v>
      </c>
      <c r="BQ570" t="s">
        <v>74</v>
      </c>
      <c r="BR570" t="s">
        <v>100</v>
      </c>
      <c r="BS570" t="s">
        <v>9072</v>
      </c>
      <c r="BT570" t="str">
        <f>HYPERLINK("https%3A%2F%2Fwww.webofscience.com%2Fwos%2Fwoscc%2Ffull-record%2FWOS:000243206300002","View Full Record in Web of Science")</f>
        <v>View Full Record in Web of Science</v>
      </c>
    </row>
    <row r="571" spans="1:72" x14ac:dyDescent="0.15">
      <c r="A571" t="s">
        <v>72</v>
      </c>
      <c r="B571" t="s">
        <v>9073</v>
      </c>
      <c r="C571" t="s">
        <v>74</v>
      </c>
      <c r="D571" t="s">
        <v>74</v>
      </c>
      <c r="E571" t="s">
        <v>74</v>
      </c>
      <c r="F571" t="s">
        <v>9074</v>
      </c>
      <c r="G571" t="s">
        <v>74</v>
      </c>
      <c r="H571" t="s">
        <v>74</v>
      </c>
      <c r="I571" t="s">
        <v>9075</v>
      </c>
      <c r="J571" t="s">
        <v>4055</v>
      </c>
      <c r="K571" t="s">
        <v>74</v>
      </c>
      <c r="L571" t="s">
        <v>74</v>
      </c>
      <c r="M571" t="s">
        <v>78</v>
      </c>
      <c r="N571" t="s">
        <v>79</v>
      </c>
      <c r="O571" t="s">
        <v>74</v>
      </c>
      <c r="P571" t="s">
        <v>74</v>
      </c>
      <c r="Q571" t="s">
        <v>74</v>
      </c>
      <c r="R571" t="s">
        <v>74</v>
      </c>
      <c r="S571" t="s">
        <v>74</v>
      </c>
      <c r="T571" t="s">
        <v>74</v>
      </c>
      <c r="U571" t="s">
        <v>9076</v>
      </c>
      <c r="V571" t="s">
        <v>9077</v>
      </c>
      <c r="W571" t="s">
        <v>9078</v>
      </c>
      <c r="X571" t="s">
        <v>9079</v>
      </c>
      <c r="Y571" t="s">
        <v>9080</v>
      </c>
      <c r="Z571" t="s">
        <v>9081</v>
      </c>
      <c r="AA571" t="s">
        <v>9082</v>
      </c>
      <c r="AB571" t="s">
        <v>9083</v>
      </c>
      <c r="AC571" t="s">
        <v>74</v>
      </c>
      <c r="AD571" t="s">
        <v>74</v>
      </c>
      <c r="AE571" t="s">
        <v>74</v>
      </c>
      <c r="AF571" t="s">
        <v>74</v>
      </c>
      <c r="AG571">
        <v>41</v>
      </c>
      <c r="AH571">
        <v>29</v>
      </c>
      <c r="AI571">
        <v>30</v>
      </c>
      <c r="AJ571">
        <v>0</v>
      </c>
      <c r="AK571">
        <v>8</v>
      </c>
      <c r="AL571" t="s">
        <v>4064</v>
      </c>
      <c r="AM571" t="s">
        <v>4065</v>
      </c>
      <c r="AN571" t="s">
        <v>4097</v>
      </c>
      <c r="AO571" t="s">
        <v>4067</v>
      </c>
      <c r="AP571" t="s">
        <v>4068</v>
      </c>
      <c r="AQ571" t="s">
        <v>74</v>
      </c>
      <c r="AR571" t="s">
        <v>4069</v>
      </c>
      <c r="AS571" t="s">
        <v>4070</v>
      </c>
      <c r="AT571" t="s">
        <v>7963</v>
      </c>
      <c r="AU571">
        <v>2006</v>
      </c>
      <c r="AV571">
        <v>36</v>
      </c>
      <c r="AW571">
        <v>12</v>
      </c>
      <c r="AX571" t="s">
        <v>74</v>
      </c>
      <c r="AY571" t="s">
        <v>74</v>
      </c>
      <c r="AZ571" t="s">
        <v>74</v>
      </c>
      <c r="BA571" t="s">
        <v>74</v>
      </c>
      <c r="BB571">
        <v>2253</v>
      </c>
      <c r="BC571">
        <v>2270</v>
      </c>
      <c r="BD571" t="s">
        <v>74</v>
      </c>
      <c r="BE571" t="s">
        <v>9084</v>
      </c>
      <c r="BF571" t="str">
        <f>HYPERLINK("http://dx.doi.org/10.1175/JPO2974.1","http://dx.doi.org/10.1175/JPO2974.1")</f>
        <v>http://dx.doi.org/10.1175/JPO2974.1</v>
      </c>
      <c r="BG571" t="s">
        <v>74</v>
      </c>
      <c r="BH571" t="s">
        <v>74</v>
      </c>
      <c r="BI571">
        <v>18</v>
      </c>
      <c r="BJ571" t="s">
        <v>1260</v>
      </c>
      <c r="BK571" t="s">
        <v>97</v>
      </c>
      <c r="BL571" t="s">
        <v>1260</v>
      </c>
      <c r="BM571" t="s">
        <v>9071</v>
      </c>
      <c r="BN571" t="s">
        <v>74</v>
      </c>
      <c r="BO571" t="s">
        <v>4486</v>
      </c>
      <c r="BP571" t="s">
        <v>74</v>
      </c>
      <c r="BQ571" t="s">
        <v>74</v>
      </c>
      <c r="BR571" t="s">
        <v>100</v>
      </c>
      <c r="BS571" t="s">
        <v>9085</v>
      </c>
      <c r="BT571" t="str">
        <f>HYPERLINK("https%3A%2F%2Fwww.webofscience.com%2Fwos%2Fwoscc%2Ffull-record%2FWOS:000243206300003","View Full Record in Web of Science")</f>
        <v>View Full Record in Web of Science</v>
      </c>
    </row>
    <row r="572" spans="1:72" x14ac:dyDescent="0.15">
      <c r="A572" t="s">
        <v>72</v>
      </c>
      <c r="B572" t="s">
        <v>9086</v>
      </c>
      <c r="C572" t="s">
        <v>74</v>
      </c>
      <c r="D572" t="s">
        <v>74</v>
      </c>
      <c r="E572" t="s">
        <v>74</v>
      </c>
      <c r="F572" t="s">
        <v>9087</v>
      </c>
      <c r="G572" t="s">
        <v>74</v>
      </c>
      <c r="H572" t="s">
        <v>74</v>
      </c>
      <c r="I572" t="s">
        <v>9088</v>
      </c>
      <c r="J572" t="s">
        <v>4055</v>
      </c>
      <c r="K572" t="s">
        <v>74</v>
      </c>
      <c r="L572" t="s">
        <v>74</v>
      </c>
      <c r="M572" t="s">
        <v>78</v>
      </c>
      <c r="N572" t="s">
        <v>79</v>
      </c>
      <c r="O572" t="s">
        <v>74</v>
      </c>
      <c r="P572" t="s">
        <v>74</v>
      </c>
      <c r="Q572" t="s">
        <v>74</v>
      </c>
      <c r="R572" t="s">
        <v>74</v>
      </c>
      <c r="S572" t="s">
        <v>74</v>
      </c>
      <c r="T572" t="s">
        <v>74</v>
      </c>
      <c r="U572" t="s">
        <v>9089</v>
      </c>
      <c r="V572" t="s">
        <v>9090</v>
      </c>
      <c r="W572" t="s">
        <v>9091</v>
      </c>
      <c r="X572" t="s">
        <v>9092</v>
      </c>
      <c r="Y572" t="s">
        <v>9093</v>
      </c>
      <c r="Z572" t="s">
        <v>3871</v>
      </c>
      <c r="AA572" t="s">
        <v>3872</v>
      </c>
      <c r="AB572" t="s">
        <v>3873</v>
      </c>
      <c r="AC572" t="s">
        <v>9094</v>
      </c>
      <c r="AD572" t="s">
        <v>1254</v>
      </c>
      <c r="AE572" t="s">
        <v>74</v>
      </c>
      <c r="AF572" t="s">
        <v>74</v>
      </c>
      <c r="AG572">
        <v>53</v>
      </c>
      <c r="AH572">
        <v>45</v>
      </c>
      <c r="AI572">
        <v>49</v>
      </c>
      <c r="AJ572">
        <v>0</v>
      </c>
      <c r="AK572">
        <v>7</v>
      </c>
      <c r="AL572" t="s">
        <v>4064</v>
      </c>
      <c r="AM572" t="s">
        <v>4065</v>
      </c>
      <c r="AN572" t="s">
        <v>4097</v>
      </c>
      <c r="AO572" t="s">
        <v>4067</v>
      </c>
      <c r="AP572" t="s">
        <v>4068</v>
      </c>
      <c r="AQ572" t="s">
        <v>74</v>
      </c>
      <c r="AR572" t="s">
        <v>4069</v>
      </c>
      <c r="AS572" t="s">
        <v>4070</v>
      </c>
      <c r="AT572" t="s">
        <v>7963</v>
      </c>
      <c r="AU572">
        <v>2006</v>
      </c>
      <c r="AV572">
        <v>36</v>
      </c>
      <c r="AW572">
        <v>12</v>
      </c>
      <c r="AX572" t="s">
        <v>74</v>
      </c>
      <c r="AY572" t="s">
        <v>74</v>
      </c>
      <c r="AZ572" t="s">
        <v>74</v>
      </c>
      <c r="BA572" t="s">
        <v>74</v>
      </c>
      <c r="BB572">
        <v>2312</v>
      </c>
      <c r="BC572">
        <v>2327</v>
      </c>
      <c r="BD572" t="s">
        <v>74</v>
      </c>
      <c r="BE572" t="s">
        <v>9095</v>
      </c>
      <c r="BF572" t="str">
        <f>HYPERLINK("http://dx.doi.org/10.1175/JPO2970.1","http://dx.doi.org/10.1175/JPO2970.1")</f>
        <v>http://dx.doi.org/10.1175/JPO2970.1</v>
      </c>
      <c r="BG572" t="s">
        <v>74</v>
      </c>
      <c r="BH572" t="s">
        <v>74</v>
      </c>
      <c r="BI572">
        <v>16</v>
      </c>
      <c r="BJ572" t="s">
        <v>1260</v>
      </c>
      <c r="BK572" t="s">
        <v>97</v>
      </c>
      <c r="BL572" t="s">
        <v>1260</v>
      </c>
      <c r="BM572" t="s">
        <v>9071</v>
      </c>
      <c r="BN572" t="s">
        <v>74</v>
      </c>
      <c r="BO572" t="s">
        <v>4658</v>
      </c>
      <c r="BP572" t="s">
        <v>74</v>
      </c>
      <c r="BQ572" t="s">
        <v>74</v>
      </c>
      <c r="BR572" t="s">
        <v>100</v>
      </c>
      <c r="BS572" t="s">
        <v>9096</v>
      </c>
      <c r="BT572" t="str">
        <f>HYPERLINK("https%3A%2F%2Fwww.webofscience.com%2Fwos%2Fwoscc%2Ffull-record%2FWOS:000243206300007","View Full Record in Web of Science")</f>
        <v>View Full Record in Web of Science</v>
      </c>
    </row>
    <row r="573" spans="1:72" x14ac:dyDescent="0.15">
      <c r="A573" t="s">
        <v>72</v>
      </c>
      <c r="B573" t="s">
        <v>9097</v>
      </c>
      <c r="C573" t="s">
        <v>74</v>
      </c>
      <c r="D573" t="s">
        <v>74</v>
      </c>
      <c r="E573" t="s">
        <v>74</v>
      </c>
      <c r="F573" t="s">
        <v>9098</v>
      </c>
      <c r="G573" t="s">
        <v>74</v>
      </c>
      <c r="H573" t="s">
        <v>74</v>
      </c>
      <c r="I573" t="s">
        <v>9099</v>
      </c>
      <c r="J573" t="s">
        <v>9100</v>
      </c>
      <c r="K573" t="s">
        <v>74</v>
      </c>
      <c r="L573" t="s">
        <v>74</v>
      </c>
      <c r="M573" t="s">
        <v>78</v>
      </c>
      <c r="N573" t="s">
        <v>79</v>
      </c>
      <c r="O573" t="s">
        <v>74</v>
      </c>
      <c r="P573" t="s">
        <v>74</v>
      </c>
      <c r="Q573" t="s">
        <v>74</v>
      </c>
      <c r="R573" t="s">
        <v>74</v>
      </c>
      <c r="S573" t="s">
        <v>74</v>
      </c>
      <c r="T573" t="s">
        <v>74</v>
      </c>
      <c r="U573" t="s">
        <v>9101</v>
      </c>
      <c r="V573" t="s">
        <v>9102</v>
      </c>
      <c r="W573" t="s">
        <v>9103</v>
      </c>
      <c r="X573" t="s">
        <v>9104</v>
      </c>
      <c r="Y573" t="s">
        <v>9105</v>
      </c>
      <c r="Z573" t="s">
        <v>9106</v>
      </c>
      <c r="AA573" t="s">
        <v>9107</v>
      </c>
      <c r="AB573" t="s">
        <v>9108</v>
      </c>
      <c r="AC573" t="s">
        <v>74</v>
      </c>
      <c r="AD573" t="s">
        <v>74</v>
      </c>
      <c r="AE573" t="s">
        <v>74</v>
      </c>
      <c r="AF573" t="s">
        <v>74</v>
      </c>
      <c r="AG573">
        <v>94</v>
      </c>
      <c r="AH573">
        <v>37</v>
      </c>
      <c r="AI573">
        <v>40</v>
      </c>
      <c r="AJ573">
        <v>3</v>
      </c>
      <c r="AK573">
        <v>21</v>
      </c>
      <c r="AL573" t="s">
        <v>2467</v>
      </c>
      <c r="AM573" t="s">
        <v>818</v>
      </c>
      <c r="AN573" t="s">
        <v>2468</v>
      </c>
      <c r="AO573" t="s">
        <v>9109</v>
      </c>
      <c r="AP573" t="s">
        <v>9110</v>
      </c>
      <c r="AQ573" t="s">
        <v>74</v>
      </c>
      <c r="AR573" t="s">
        <v>9111</v>
      </c>
      <c r="AS573" t="s">
        <v>9112</v>
      </c>
      <c r="AT573" t="s">
        <v>7963</v>
      </c>
      <c r="AU573">
        <v>2006</v>
      </c>
      <c r="AV573">
        <v>28</v>
      </c>
      <c r="AW573">
        <v>12</v>
      </c>
      <c r="AX573" t="s">
        <v>74</v>
      </c>
      <c r="AY573" t="s">
        <v>74</v>
      </c>
      <c r="AZ573" t="s">
        <v>74</v>
      </c>
      <c r="BA573" t="s">
        <v>74</v>
      </c>
      <c r="BB573">
        <v>1107</v>
      </c>
      <c r="BC573">
        <v>1128</v>
      </c>
      <c r="BD573" t="s">
        <v>74</v>
      </c>
      <c r="BE573" t="s">
        <v>9113</v>
      </c>
      <c r="BF573" t="str">
        <f>HYPERLINK("http://dx.doi.org/10.1093/plankt/fbl045","http://dx.doi.org/10.1093/plankt/fbl045")</f>
        <v>http://dx.doi.org/10.1093/plankt/fbl045</v>
      </c>
      <c r="BG573" t="s">
        <v>74</v>
      </c>
      <c r="BH573" t="s">
        <v>74</v>
      </c>
      <c r="BI573">
        <v>22</v>
      </c>
      <c r="BJ573" t="s">
        <v>4206</v>
      </c>
      <c r="BK573" t="s">
        <v>97</v>
      </c>
      <c r="BL573" t="s">
        <v>4206</v>
      </c>
      <c r="BM573" t="s">
        <v>9114</v>
      </c>
      <c r="BN573" t="s">
        <v>74</v>
      </c>
      <c r="BO573" t="s">
        <v>74</v>
      </c>
      <c r="BP573" t="s">
        <v>74</v>
      </c>
      <c r="BQ573" t="s">
        <v>74</v>
      </c>
      <c r="BR573" t="s">
        <v>100</v>
      </c>
      <c r="BS573" t="s">
        <v>9115</v>
      </c>
      <c r="BT573" t="str">
        <f>HYPERLINK("https%3A%2F%2Fwww.webofscience.com%2Fwos%2Fwoscc%2Ffull-record%2FWOS:000244840300001","View Full Record in Web of Science")</f>
        <v>View Full Record in Web of Science</v>
      </c>
    </row>
    <row r="574" spans="1:72" x14ac:dyDescent="0.15">
      <c r="A574" t="s">
        <v>72</v>
      </c>
      <c r="B574" t="s">
        <v>9116</v>
      </c>
      <c r="C574" t="s">
        <v>74</v>
      </c>
      <c r="D574" t="s">
        <v>74</v>
      </c>
      <c r="E574" t="s">
        <v>74</v>
      </c>
      <c r="F574" t="s">
        <v>9117</v>
      </c>
      <c r="G574" t="s">
        <v>74</v>
      </c>
      <c r="H574" t="s">
        <v>74</v>
      </c>
      <c r="I574" t="s">
        <v>9118</v>
      </c>
      <c r="J574" t="s">
        <v>9100</v>
      </c>
      <c r="K574" t="s">
        <v>74</v>
      </c>
      <c r="L574" t="s">
        <v>74</v>
      </c>
      <c r="M574" t="s">
        <v>78</v>
      </c>
      <c r="N574" t="s">
        <v>79</v>
      </c>
      <c r="O574" t="s">
        <v>74</v>
      </c>
      <c r="P574" t="s">
        <v>74</v>
      </c>
      <c r="Q574" t="s">
        <v>74</v>
      </c>
      <c r="R574" t="s">
        <v>74</v>
      </c>
      <c r="S574" t="s">
        <v>74</v>
      </c>
      <c r="T574" t="s">
        <v>74</v>
      </c>
      <c r="U574" t="s">
        <v>9119</v>
      </c>
      <c r="V574" t="s">
        <v>9120</v>
      </c>
      <c r="W574" t="s">
        <v>9121</v>
      </c>
      <c r="X574" t="s">
        <v>9122</v>
      </c>
      <c r="Y574" t="s">
        <v>9123</v>
      </c>
      <c r="Z574" t="s">
        <v>9124</v>
      </c>
      <c r="AA574" t="s">
        <v>9125</v>
      </c>
      <c r="AB574" t="s">
        <v>9126</v>
      </c>
      <c r="AC574" t="s">
        <v>4321</v>
      </c>
      <c r="AD574" t="s">
        <v>158</v>
      </c>
      <c r="AE574" t="s">
        <v>74</v>
      </c>
      <c r="AF574" t="s">
        <v>74</v>
      </c>
      <c r="AG574">
        <v>27</v>
      </c>
      <c r="AH574">
        <v>26</v>
      </c>
      <c r="AI574">
        <v>30</v>
      </c>
      <c r="AJ574">
        <v>0</v>
      </c>
      <c r="AK574">
        <v>12</v>
      </c>
      <c r="AL574" t="s">
        <v>2467</v>
      </c>
      <c r="AM574" t="s">
        <v>818</v>
      </c>
      <c r="AN574" t="s">
        <v>2468</v>
      </c>
      <c r="AO574" t="s">
        <v>9109</v>
      </c>
      <c r="AP574" t="s">
        <v>9110</v>
      </c>
      <c r="AQ574" t="s">
        <v>74</v>
      </c>
      <c r="AR574" t="s">
        <v>9111</v>
      </c>
      <c r="AS574" t="s">
        <v>9112</v>
      </c>
      <c r="AT574" t="s">
        <v>7963</v>
      </c>
      <c r="AU574">
        <v>2006</v>
      </c>
      <c r="AV574">
        <v>28</v>
      </c>
      <c r="AW574">
        <v>12</v>
      </c>
      <c r="AX574" t="s">
        <v>74</v>
      </c>
      <c r="AY574" t="s">
        <v>74</v>
      </c>
      <c r="AZ574" t="s">
        <v>74</v>
      </c>
      <c r="BA574" t="s">
        <v>74</v>
      </c>
      <c r="BB574">
        <v>1191</v>
      </c>
      <c r="BC574">
        <v>1198</v>
      </c>
      <c r="BD574" t="s">
        <v>74</v>
      </c>
      <c r="BE574" t="s">
        <v>9127</v>
      </c>
      <c r="BF574" t="str">
        <f>HYPERLINK("http://dx.doi.org/10.1093/plankt/fbl049","http://dx.doi.org/10.1093/plankt/fbl049")</f>
        <v>http://dx.doi.org/10.1093/plankt/fbl049</v>
      </c>
      <c r="BG574" t="s">
        <v>74</v>
      </c>
      <c r="BH574" t="s">
        <v>74</v>
      </c>
      <c r="BI574">
        <v>8</v>
      </c>
      <c r="BJ574" t="s">
        <v>4206</v>
      </c>
      <c r="BK574" t="s">
        <v>97</v>
      </c>
      <c r="BL574" t="s">
        <v>4206</v>
      </c>
      <c r="BM574" t="s">
        <v>9114</v>
      </c>
      <c r="BN574" t="s">
        <v>74</v>
      </c>
      <c r="BO574" t="s">
        <v>124</v>
      </c>
      <c r="BP574" t="s">
        <v>74</v>
      </c>
      <c r="BQ574" t="s">
        <v>74</v>
      </c>
      <c r="BR574" t="s">
        <v>100</v>
      </c>
      <c r="BS574" t="s">
        <v>9128</v>
      </c>
      <c r="BT574" t="str">
        <f>HYPERLINK("https%3A%2F%2Fwww.webofscience.com%2Fwos%2Fwoscc%2Ffull-record%2FWOS:000244840300007","View Full Record in Web of Science")</f>
        <v>View Full Record in Web of Science</v>
      </c>
    </row>
    <row r="575" spans="1:72" x14ac:dyDescent="0.15">
      <c r="A575" t="s">
        <v>72</v>
      </c>
      <c r="B575" t="s">
        <v>9129</v>
      </c>
      <c r="C575" t="s">
        <v>74</v>
      </c>
      <c r="D575" t="s">
        <v>74</v>
      </c>
      <c r="E575" t="s">
        <v>74</v>
      </c>
      <c r="F575" t="s">
        <v>9129</v>
      </c>
      <c r="G575" t="s">
        <v>74</v>
      </c>
      <c r="H575" t="s">
        <v>74</v>
      </c>
      <c r="I575" t="s">
        <v>9130</v>
      </c>
      <c r="J575" t="s">
        <v>9131</v>
      </c>
      <c r="K575" t="s">
        <v>74</v>
      </c>
      <c r="L575" t="s">
        <v>74</v>
      </c>
      <c r="M575" t="s">
        <v>78</v>
      </c>
      <c r="N575" t="s">
        <v>3296</v>
      </c>
      <c r="O575" t="s">
        <v>74</v>
      </c>
      <c r="P575" t="s">
        <v>74</v>
      </c>
      <c r="Q575" t="s">
        <v>74</v>
      </c>
      <c r="R575" t="s">
        <v>74</v>
      </c>
      <c r="S575" t="s">
        <v>74</v>
      </c>
      <c r="T575" t="s">
        <v>74</v>
      </c>
      <c r="U575" t="s">
        <v>74</v>
      </c>
      <c r="V575" t="s">
        <v>74</v>
      </c>
      <c r="W575" t="s">
        <v>74</v>
      </c>
      <c r="X575" t="s">
        <v>74</v>
      </c>
      <c r="Y575" t="s">
        <v>74</v>
      </c>
      <c r="Z575" t="s">
        <v>74</v>
      </c>
      <c r="AA575" t="s">
        <v>74</v>
      </c>
      <c r="AB575" t="s">
        <v>74</v>
      </c>
      <c r="AC575" t="s">
        <v>74</v>
      </c>
      <c r="AD575" t="s">
        <v>74</v>
      </c>
      <c r="AE575" t="s">
        <v>74</v>
      </c>
      <c r="AF575" t="s">
        <v>74</v>
      </c>
      <c r="AG575">
        <v>0</v>
      </c>
      <c r="AH575">
        <v>0</v>
      </c>
      <c r="AI575">
        <v>0</v>
      </c>
      <c r="AJ575">
        <v>0</v>
      </c>
      <c r="AK575">
        <v>0</v>
      </c>
      <c r="AL575" t="s">
        <v>817</v>
      </c>
      <c r="AM575" t="s">
        <v>818</v>
      </c>
      <c r="AN575" t="s">
        <v>819</v>
      </c>
      <c r="AO575" t="s">
        <v>9132</v>
      </c>
      <c r="AP575" t="s">
        <v>9133</v>
      </c>
      <c r="AQ575" t="s">
        <v>74</v>
      </c>
      <c r="AR575" t="s">
        <v>9134</v>
      </c>
      <c r="AS575" t="s">
        <v>9135</v>
      </c>
      <c r="AT575" t="s">
        <v>7963</v>
      </c>
      <c r="AU575">
        <v>2006</v>
      </c>
      <c r="AV575">
        <v>52</v>
      </c>
      <c r="AW575">
        <v>12</v>
      </c>
      <c r="AX575" t="s">
        <v>74</v>
      </c>
      <c r="AY575" t="s">
        <v>74</v>
      </c>
      <c r="AZ575" t="s">
        <v>74</v>
      </c>
      <c r="BA575" t="s">
        <v>74</v>
      </c>
      <c r="BB575">
        <v>1549</v>
      </c>
      <c r="BC575">
        <v>1549</v>
      </c>
      <c r="BD575" t="s">
        <v>74</v>
      </c>
      <c r="BE575" t="s">
        <v>74</v>
      </c>
      <c r="BF575" t="s">
        <v>74</v>
      </c>
      <c r="BG575" t="s">
        <v>74</v>
      </c>
      <c r="BH575" t="s">
        <v>74</v>
      </c>
      <c r="BI575">
        <v>1</v>
      </c>
      <c r="BJ575" t="s">
        <v>9136</v>
      </c>
      <c r="BK575" t="s">
        <v>97</v>
      </c>
      <c r="BL575" t="s">
        <v>198</v>
      </c>
      <c r="BM575" t="s">
        <v>9137</v>
      </c>
      <c r="BN575" t="s">
        <v>74</v>
      </c>
      <c r="BO575" t="s">
        <v>74</v>
      </c>
      <c r="BP575" t="s">
        <v>74</v>
      </c>
      <c r="BQ575" t="s">
        <v>74</v>
      </c>
      <c r="BR575" t="s">
        <v>100</v>
      </c>
      <c r="BS575" t="s">
        <v>9138</v>
      </c>
      <c r="BT575" t="str">
        <f>HYPERLINK("https%3A%2F%2Fwww.webofscience.com%2Fwos%2Fwoscc%2Ffull-record%2FWOS:000243136900002","View Full Record in Web of Science")</f>
        <v>View Full Record in Web of Science</v>
      </c>
    </row>
    <row r="576" spans="1:72" x14ac:dyDescent="0.15">
      <c r="A576" t="s">
        <v>72</v>
      </c>
      <c r="B576" t="s">
        <v>9139</v>
      </c>
      <c r="C576" t="s">
        <v>74</v>
      </c>
      <c r="D576" t="s">
        <v>74</v>
      </c>
      <c r="E576" t="s">
        <v>74</v>
      </c>
      <c r="F576" t="s">
        <v>9140</v>
      </c>
      <c r="G576" t="s">
        <v>74</v>
      </c>
      <c r="H576" t="s">
        <v>74</v>
      </c>
      <c r="I576" t="s">
        <v>9141</v>
      </c>
      <c r="J576" t="s">
        <v>9131</v>
      </c>
      <c r="K576" t="s">
        <v>74</v>
      </c>
      <c r="L576" t="s">
        <v>74</v>
      </c>
      <c r="M576" t="s">
        <v>78</v>
      </c>
      <c r="N576" t="s">
        <v>79</v>
      </c>
      <c r="O576" t="s">
        <v>74</v>
      </c>
      <c r="P576" t="s">
        <v>74</v>
      </c>
      <c r="Q576" t="s">
        <v>74</v>
      </c>
      <c r="R576" t="s">
        <v>74</v>
      </c>
      <c r="S576" t="s">
        <v>74</v>
      </c>
      <c r="T576" t="s">
        <v>9142</v>
      </c>
      <c r="U576" t="s">
        <v>9143</v>
      </c>
      <c r="V576" t="s">
        <v>9144</v>
      </c>
      <c r="W576" t="s">
        <v>9145</v>
      </c>
      <c r="X576" t="s">
        <v>9146</v>
      </c>
      <c r="Y576" t="s">
        <v>9147</v>
      </c>
      <c r="Z576" t="s">
        <v>9148</v>
      </c>
      <c r="AA576" t="s">
        <v>9149</v>
      </c>
      <c r="AB576" t="s">
        <v>9150</v>
      </c>
      <c r="AC576" t="s">
        <v>74</v>
      </c>
      <c r="AD576" t="s">
        <v>74</v>
      </c>
      <c r="AE576" t="s">
        <v>74</v>
      </c>
      <c r="AF576" t="s">
        <v>74</v>
      </c>
      <c r="AG576">
        <v>58</v>
      </c>
      <c r="AH576">
        <v>33</v>
      </c>
      <c r="AI576">
        <v>34</v>
      </c>
      <c r="AJ576">
        <v>1</v>
      </c>
      <c r="AK576">
        <v>23</v>
      </c>
      <c r="AL576" t="s">
        <v>817</v>
      </c>
      <c r="AM576" t="s">
        <v>818</v>
      </c>
      <c r="AN576" t="s">
        <v>819</v>
      </c>
      <c r="AO576" t="s">
        <v>9132</v>
      </c>
      <c r="AP576" t="s">
        <v>9133</v>
      </c>
      <c r="AQ576" t="s">
        <v>74</v>
      </c>
      <c r="AR576" t="s">
        <v>9134</v>
      </c>
      <c r="AS576" t="s">
        <v>9135</v>
      </c>
      <c r="AT576" t="s">
        <v>7963</v>
      </c>
      <c r="AU576">
        <v>2006</v>
      </c>
      <c r="AV576">
        <v>52</v>
      </c>
      <c r="AW576">
        <v>12</v>
      </c>
      <c r="AX576" t="s">
        <v>74</v>
      </c>
      <c r="AY576" t="s">
        <v>74</v>
      </c>
      <c r="AZ576" t="s">
        <v>74</v>
      </c>
      <c r="BA576" t="s">
        <v>74</v>
      </c>
      <c r="BB576">
        <v>1595</v>
      </c>
      <c r="BC576">
        <v>1610</v>
      </c>
      <c r="BD576" t="s">
        <v>74</v>
      </c>
      <c r="BE576" t="s">
        <v>9151</v>
      </c>
      <c r="BF576" t="str">
        <f>HYPERLINK("http://dx.doi.org/10.1016/j.marpolbul.2006.05.020","http://dx.doi.org/10.1016/j.marpolbul.2006.05.020")</f>
        <v>http://dx.doi.org/10.1016/j.marpolbul.2006.05.020</v>
      </c>
      <c r="BG576" t="s">
        <v>74</v>
      </c>
      <c r="BH576" t="s">
        <v>74</v>
      </c>
      <c r="BI576">
        <v>16</v>
      </c>
      <c r="BJ576" t="s">
        <v>9136</v>
      </c>
      <c r="BK576" t="s">
        <v>97</v>
      </c>
      <c r="BL576" t="s">
        <v>198</v>
      </c>
      <c r="BM576" t="s">
        <v>9137</v>
      </c>
      <c r="BN576">
        <v>16870214</v>
      </c>
      <c r="BO576" t="s">
        <v>74</v>
      </c>
      <c r="BP576" t="s">
        <v>74</v>
      </c>
      <c r="BQ576" t="s">
        <v>74</v>
      </c>
      <c r="BR576" t="s">
        <v>100</v>
      </c>
      <c r="BS576" t="s">
        <v>9152</v>
      </c>
      <c r="BT576" t="str">
        <f>HYPERLINK("https%3A%2F%2Fwww.webofscience.com%2Fwos%2Fwoscc%2Ffull-record%2FWOS:000243136900015","View Full Record in Web of Science")</f>
        <v>View Full Record in Web of Science</v>
      </c>
    </row>
    <row r="577" spans="1:72" x14ac:dyDescent="0.15">
      <c r="A577" t="s">
        <v>72</v>
      </c>
      <c r="B577" t="s">
        <v>9153</v>
      </c>
      <c r="C577" t="s">
        <v>74</v>
      </c>
      <c r="D577" t="s">
        <v>74</v>
      </c>
      <c r="E577" t="s">
        <v>74</v>
      </c>
      <c r="F577" t="s">
        <v>9154</v>
      </c>
      <c r="G577" t="s">
        <v>74</v>
      </c>
      <c r="H577" t="s">
        <v>74</v>
      </c>
      <c r="I577" t="s">
        <v>9155</v>
      </c>
      <c r="J577" t="s">
        <v>9131</v>
      </c>
      <c r="K577" t="s">
        <v>74</v>
      </c>
      <c r="L577" t="s">
        <v>74</v>
      </c>
      <c r="M577" t="s">
        <v>78</v>
      </c>
      <c r="N577" t="s">
        <v>79</v>
      </c>
      <c r="O577" t="s">
        <v>74</v>
      </c>
      <c r="P577" t="s">
        <v>74</v>
      </c>
      <c r="Q577" t="s">
        <v>74</v>
      </c>
      <c r="R577" t="s">
        <v>74</v>
      </c>
      <c r="S577" t="s">
        <v>74</v>
      </c>
      <c r="T577" t="s">
        <v>9156</v>
      </c>
      <c r="U577" t="s">
        <v>9157</v>
      </c>
      <c r="V577" t="s">
        <v>9158</v>
      </c>
      <c r="W577" t="s">
        <v>9159</v>
      </c>
      <c r="X577" t="s">
        <v>9160</v>
      </c>
      <c r="Y577" t="s">
        <v>9161</v>
      </c>
      <c r="Z577" t="s">
        <v>9162</v>
      </c>
      <c r="AA577" t="s">
        <v>74</v>
      </c>
      <c r="AB577" t="s">
        <v>74</v>
      </c>
      <c r="AC577" t="s">
        <v>74</v>
      </c>
      <c r="AD577" t="s">
        <v>74</v>
      </c>
      <c r="AE577" t="s">
        <v>74</v>
      </c>
      <c r="AF577" t="s">
        <v>74</v>
      </c>
      <c r="AG577">
        <v>48</v>
      </c>
      <c r="AH577">
        <v>25</v>
      </c>
      <c r="AI577">
        <v>33</v>
      </c>
      <c r="AJ577">
        <v>0</v>
      </c>
      <c r="AK577">
        <v>27</v>
      </c>
      <c r="AL577" t="s">
        <v>817</v>
      </c>
      <c r="AM577" t="s">
        <v>818</v>
      </c>
      <c r="AN577" t="s">
        <v>819</v>
      </c>
      <c r="AO577" t="s">
        <v>9132</v>
      </c>
      <c r="AP577" t="s">
        <v>9133</v>
      </c>
      <c r="AQ577" t="s">
        <v>74</v>
      </c>
      <c r="AR577" t="s">
        <v>9134</v>
      </c>
      <c r="AS577" t="s">
        <v>9135</v>
      </c>
      <c r="AT577" t="s">
        <v>7963</v>
      </c>
      <c r="AU577">
        <v>2006</v>
      </c>
      <c r="AV577">
        <v>52</v>
      </c>
      <c r="AW577">
        <v>12</v>
      </c>
      <c r="AX577" t="s">
        <v>74</v>
      </c>
      <c r="AY577" t="s">
        <v>74</v>
      </c>
      <c r="AZ577" t="s">
        <v>74</v>
      </c>
      <c r="BA577" t="s">
        <v>74</v>
      </c>
      <c r="BB577">
        <v>1695</v>
      </c>
      <c r="BC577">
        <v>1707</v>
      </c>
      <c r="BD577" t="s">
        <v>74</v>
      </c>
      <c r="BE577" t="s">
        <v>9163</v>
      </c>
      <c r="BF577" t="str">
        <f>HYPERLINK("http://dx.doi.org/10.1016/j.marpolbul.2006.06.010","http://dx.doi.org/10.1016/j.marpolbul.2006.06.010")</f>
        <v>http://dx.doi.org/10.1016/j.marpolbul.2006.06.010</v>
      </c>
      <c r="BG577" t="s">
        <v>74</v>
      </c>
      <c r="BH577" t="s">
        <v>74</v>
      </c>
      <c r="BI577">
        <v>13</v>
      </c>
      <c r="BJ577" t="s">
        <v>9136</v>
      </c>
      <c r="BK577" t="s">
        <v>97</v>
      </c>
      <c r="BL577" t="s">
        <v>198</v>
      </c>
      <c r="BM577" t="s">
        <v>9137</v>
      </c>
      <c r="BN577">
        <v>17046028</v>
      </c>
      <c r="BO577" t="s">
        <v>74</v>
      </c>
      <c r="BP577" t="s">
        <v>74</v>
      </c>
      <c r="BQ577" t="s">
        <v>74</v>
      </c>
      <c r="BR577" t="s">
        <v>100</v>
      </c>
      <c r="BS577" t="s">
        <v>9164</v>
      </c>
      <c r="BT577" t="str">
        <f>HYPERLINK("https%3A%2F%2Fwww.webofscience.com%2Fwos%2Fwoscc%2Ffull-record%2FWOS:000243136900024","View Full Record in Web of Science")</f>
        <v>View Full Record in Web of Science</v>
      </c>
    </row>
    <row r="578" spans="1:72" x14ac:dyDescent="0.15">
      <c r="A578" t="s">
        <v>72</v>
      </c>
      <c r="B578" t="s">
        <v>9165</v>
      </c>
      <c r="C578" t="s">
        <v>74</v>
      </c>
      <c r="D578" t="s">
        <v>74</v>
      </c>
      <c r="E578" t="s">
        <v>74</v>
      </c>
      <c r="F578" t="s">
        <v>9166</v>
      </c>
      <c r="G578" t="s">
        <v>74</v>
      </c>
      <c r="H578" t="s">
        <v>74</v>
      </c>
      <c r="I578" t="s">
        <v>9167</v>
      </c>
      <c r="J578" t="s">
        <v>9168</v>
      </c>
      <c r="K578" t="s">
        <v>74</v>
      </c>
      <c r="L578" t="s">
        <v>74</v>
      </c>
      <c r="M578" t="s">
        <v>78</v>
      </c>
      <c r="N578" t="s">
        <v>79</v>
      </c>
      <c r="O578" t="s">
        <v>74</v>
      </c>
      <c r="P578" t="s">
        <v>74</v>
      </c>
      <c r="Q578" t="s">
        <v>74</v>
      </c>
      <c r="R578" t="s">
        <v>74</v>
      </c>
      <c r="S578" t="s">
        <v>74</v>
      </c>
      <c r="T578" t="s">
        <v>9169</v>
      </c>
      <c r="U578" t="s">
        <v>9170</v>
      </c>
      <c r="V578" t="s">
        <v>9171</v>
      </c>
      <c r="W578" t="s">
        <v>9172</v>
      </c>
      <c r="X578" t="s">
        <v>9173</v>
      </c>
      <c r="Y578" t="s">
        <v>9174</v>
      </c>
      <c r="Z578" t="s">
        <v>9175</v>
      </c>
      <c r="AA578" t="s">
        <v>9176</v>
      </c>
      <c r="AB578" t="s">
        <v>9177</v>
      </c>
      <c r="AC578" t="s">
        <v>74</v>
      </c>
      <c r="AD578" t="s">
        <v>74</v>
      </c>
      <c r="AE578" t="s">
        <v>74</v>
      </c>
      <c r="AF578" t="s">
        <v>74</v>
      </c>
      <c r="AG578">
        <v>63</v>
      </c>
      <c r="AH578">
        <v>52</v>
      </c>
      <c r="AI578">
        <v>57</v>
      </c>
      <c r="AJ578">
        <v>0</v>
      </c>
      <c r="AK578">
        <v>17</v>
      </c>
      <c r="AL578" t="s">
        <v>159</v>
      </c>
      <c r="AM578" t="s">
        <v>160</v>
      </c>
      <c r="AN578" t="s">
        <v>161</v>
      </c>
      <c r="AO578" t="s">
        <v>9178</v>
      </c>
      <c r="AP578" t="s">
        <v>9179</v>
      </c>
      <c r="AQ578" t="s">
        <v>74</v>
      </c>
      <c r="AR578" t="s">
        <v>9180</v>
      </c>
      <c r="AS578" t="s">
        <v>9181</v>
      </c>
      <c r="AT578" t="s">
        <v>7963</v>
      </c>
      <c r="AU578">
        <v>2006</v>
      </c>
      <c r="AV578">
        <v>15</v>
      </c>
      <c r="AW578">
        <v>14</v>
      </c>
      <c r="AX578" t="s">
        <v>74</v>
      </c>
      <c r="AY578" t="s">
        <v>74</v>
      </c>
      <c r="AZ578" t="s">
        <v>74</v>
      </c>
      <c r="BA578" t="s">
        <v>74</v>
      </c>
      <c r="BB578">
        <v>4499</v>
      </c>
      <c r="BC578">
        <v>4511</v>
      </c>
      <c r="BD578" t="s">
        <v>74</v>
      </c>
      <c r="BE578" t="s">
        <v>9182</v>
      </c>
      <c r="BF578" t="str">
        <f>HYPERLINK("http://dx.doi.org/10.1111/j.1365-294X.2006.03105.x","http://dx.doi.org/10.1111/j.1365-294X.2006.03105.x")</f>
        <v>http://dx.doi.org/10.1111/j.1365-294X.2006.03105.x</v>
      </c>
      <c r="BG578" t="s">
        <v>74</v>
      </c>
      <c r="BH578" t="s">
        <v>74</v>
      </c>
      <c r="BI578">
        <v>13</v>
      </c>
      <c r="BJ578" t="s">
        <v>9183</v>
      </c>
      <c r="BK578" t="s">
        <v>97</v>
      </c>
      <c r="BL578" t="s">
        <v>9184</v>
      </c>
      <c r="BM578" t="s">
        <v>9185</v>
      </c>
      <c r="BN578">
        <v>17107479</v>
      </c>
      <c r="BO578" t="s">
        <v>74</v>
      </c>
      <c r="BP578" t="s">
        <v>74</v>
      </c>
      <c r="BQ578" t="s">
        <v>74</v>
      </c>
      <c r="BR578" t="s">
        <v>100</v>
      </c>
      <c r="BS578" t="s">
        <v>9186</v>
      </c>
      <c r="BT578" t="str">
        <f>HYPERLINK("https%3A%2F%2Fwww.webofscience.com%2Fwos%2Fwoscc%2Ffull-record%2FWOS:000242042800015","View Full Record in Web of Science")</f>
        <v>View Full Record in Web of Science</v>
      </c>
    </row>
    <row r="579" spans="1:72" x14ac:dyDescent="0.15">
      <c r="A579" t="s">
        <v>72</v>
      </c>
      <c r="B579" t="s">
        <v>9187</v>
      </c>
      <c r="C579" t="s">
        <v>74</v>
      </c>
      <c r="D579" t="s">
        <v>74</v>
      </c>
      <c r="E579" t="s">
        <v>74</v>
      </c>
      <c r="F579" t="s">
        <v>9188</v>
      </c>
      <c r="G579" t="s">
        <v>74</v>
      </c>
      <c r="H579" t="s">
        <v>74</v>
      </c>
      <c r="I579" t="s">
        <v>9189</v>
      </c>
      <c r="J579" t="s">
        <v>9190</v>
      </c>
      <c r="K579" t="s">
        <v>74</v>
      </c>
      <c r="L579" t="s">
        <v>74</v>
      </c>
      <c r="M579" t="s">
        <v>78</v>
      </c>
      <c r="N579" t="s">
        <v>79</v>
      </c>
      <c r="O579" t="s">
        <v>74</v>
      </c>
      <c r="P579" t="s">
        <v>74</v>
      </c>
      <c r="Q579" t="s">
        <v>74</v>
      </c>
      <c r="R579" t="s">
        <v>74</v>
      </c>
      <c r="S579" t="s">
        <v>74</v>
      </c>
      <c r="T579" t="s">
        <v>9191</v>
      </c>
      <c r="U579" t="s">
        <v>9192</v>
      </c>
      <c r="V579" t="s">
        <v>9193</v>
      </c>
      <c r="W579" t="s">
        <v>2800</v>
      </c>
      <c r="X579" t="s">
        <v>653</v>
      </c>
      <c r="Y579" t="s">
        <v>9194</v>
      </c>
      <c r="Z579" t="s">
        <v>74</v>
      </c>
      <c r="AA579" t="s">
        <v>74</v>
      </c>
      <c r="AB579" t="s">
        <v>9195</v>
      </c>
      <c r="AC579" t="s">
        <v>74</v>
      </c>
      <c r="AD579" t="s">
        <v>74</v>
      </c>
      <c r="AE579" t="s">
        <v>74</v>
      </c>
      <c r="AF579" t="s">
        <v>74</v>
      </c>
      <c r="AG579">
        <v>31</v>
      </c>
      <c r="AH579">
        <v>11</v>
      </c>
      <c r="AI579">
        <v>13</v>
      </c>
      <c r="AJ579">
        <v>1</v>
      </c>
      <c r="AK579">
        <v>12</v>
      </c>
      <c r="AL579" t="s">
        <v>2428</v>
      </c>
      <c r="AM579" t="s">
        <v>2429</v>
      </c>
      <c r="AN579" t="s">
        <v>2430</v>
      </c>
      <c r="AO579" t="s">
        <v>9196</v>
      </c>
      <c r="AP579" t="s">
        <v>9197</v>
      </c>
      <c r="AQ579" t="s">
        <v>74</v>
      </c>
      <c r="AR579" t="s">
        <v>9198</v>
      </c>
      <c r="AS579" t="s">
        <v>9199</v>
      </c>
      <c r="AT579" t="s">
        <v>7963</v>
      </c>
      <c r="AU579">
        <v>2006</v>
      </c>
      <c r="AV579">
        <v>44</v>
      </c>
      <c r="AW579">
        <v>4</v>
      </c>
      <c r="AX579" t="s">
        <v>74</v>
      </c>
      <c r="AY579" t="s">
        <v>74</v>
      </c>
      <c r="AZ579" t="s">
        <v>74</v>
      </c>
      <c r="BA579" t="s">
        <v>74</v>
      </c>
      <c r="BB579">
        <v>397</v>
      </c>
      <c r="BC579">
        <v>413</v>
      </c>
      <c r="BD579" t="s">
        <v>74</v>
      </c>
      <c r="BE579" t="s">
        <v>9200</v>
      </c>
      <c r="BF579" t="str">
        <f>HYPERLINK("http://dx.doi.org/10.1080/0028825X.2006.9513031","http://dx.doi.org/10.1080/0028825X.2006.9513031")</f>
        <v>http://dx.doi.org/10.1080/0028825X.2006.9513031</v>
      </c>
      <c r="BG579" t="s">
        <v>74</v>
      </c>
      <c r="BH579" t="s">
        <v>74</v>
      </c>
      <c r="BI579">
        <v>17</v>
      </c>
      <c r="BJ579" t="s">
        <v>576</v>
      </c>
      <c r="BK579" t="s">
        <v>97</v>
      </c>
      <c r="BL579" t="s">
        <v>576</v>
      </c>
      <c r="BM579" t="s">
        <v>9201</v>
      </c>
      <c r="BN579" t="s">
        <v>74</v>
      </c>
      <c r="BO579" t="s">
        <v>124</v>
      </c>
      <c r="BP579" t="s">
        <v>74</v>
      </c>
      <c r="BQ579" t="s">
        <v>74</v>
      </c>
      <c r="BR579" t="s">
        <v>100</v>
      </c>
      <c r="BS579" t="s">
        <v>9202</v>
      </c>
      <c r="BT579" t="str">
        <f>HYPERLINK("https%3A%2F%2Fwww.webofscience.com%2Fwos%2Fwoscc%2Ffull-record%2FWOS:000243948300004","View Full Record in Web of Science")</f>
        <v>View Full Record in Web of Science</v>
      </c>
    </row>
    <row r="580" spans="1:72" x14ac:dyDescent="0.15">
      <c r="A580" t="s">
        <v>72</v>
      </c>
      <c r="B580" t="s">
        <v>9203</v>
      </c>
      <c r="C580" t="s">
        <v>74</v>
      </c>
      <c r="D580" t="s">
        <v>74</v>
      </c>
      <c r="E580" t="s">
        <v>74</v>
      </c>
      <c r="F580" t="s">
        <v>9204</v>
      </c>
      <c r="G580" t="s">
        <v>74</v>
      </c>
      <c r="H580" t="s">
        <v>74</v>
      </c>
      <c r="I580" t="s">
        <v>9205</v>
      </c>
      <c r="J580" t="s">
        <v>9206</v>
      </c>
      <c r="K580" t="s">
        <v>74</v>
      </c>
      <c r="L580" t="s">
        <v>74</v>
      </c>
      <c r="M580" t="s">
        <v>78</v>
      </c>
      <c r="N580" t="s">
        <v>79</v>
      </c>
      <c r="O580" t="s">
        <v>74</v>
      </c>
      <c r="P580" t="s">
        <v>74</v>
      </c>
      <c r="Q580" t="s">
        <v>74</v>
      </c>
      <c r="R580" t="s">
        <v>74</v>
      </c>
      <c r="S580" t="s">
        <v>74</v>
      </c>
      <c r="T580" t="s">
        <v>9207</v>
      </c>
      <c r="U580" t="s">
        <v>9208</v>
      </c>
      <c r="V580" t="s">
        <v>9209</v>
      </c>
      <c r="W580" t="s">
        <v>9210</v>
      </c>
      <c r="X580" t="s">
        <v>9211</v>
      </c>
      <c r="Y580" t="s">
        <v>9212</v>
      </c>
      <c r="Z580" t="s">
        <v>9213</v>
      </c>
      <c r="AA580" t="s">
        <v>74</v>
      </c>
      <c r="AB580" t="s">
        <v>9214</v>
      </c>
      <c r="AC580" t="s">
        <v>74</v>
      </c>
      <c r="AD580" t="s">
        <v>74</v>
      </c>
      <c r="AE580" t="s">
        <v>74</v>
      </c>
      <c r="AF580" t="s">
        <v>74</v>
      </c>
      <c r="AG580">
        <v>47</v>
      </c>
      <c r="AH580">
        <v>7</v>
      </c>
      <c r="AI580">
        <v>8</v>
      </c>
      <c r="AJ580">
        <v>0</v>
      </c>
      <c r="AK580">
        <v>8</v>
      </c>
      <c r="AL580" t="s">
        <v>4354</v>
      </c>
      <c r="AM580" t="s">
        <v>4355</v>
      </c>
      <c r="AN580" t="s">
        <v>4356</v>
      </c>
      <c r="AO580" t="s">
        <v>9215</v>
      </c>
      <c r="AP580" t="s">
        <v>9216</v>
      </c>
      <c r="AQ580" t="s">
        <v>74</v>
      </c>
      <c r="AR580" t="s">
        <v>9217</v>
      </c>
      <c r="AS580" t="s">
        <v>9218</v>
      </c>
      <c r="AT580" t="s">
        <v>7963</v>
      </c>
      <c r="AU580">
        <v>2006</v>
      </c>
      <c r="AV580">
        <v>56</v>
      </c>
      <c r="AW580" t="s">
        <v>5190</v>
      </c>
      <c r="AX580" t="s">
        <v>74</v>
      </c>
      <c r="AY580" t="s">
        <v>74</v>
      </c>
      <c r="AZ580" t="s">
        <v>74</v>
      </c>
      <c r="BA580" t="s">
        <v>74</v>
      </c>
      <c r="BB580">
        <v>452</v>
      </c>
      <c r="BC580">
        <v>463</v>
      </c>
      <c r="BD580" t="s">
        <v>74</v>
      </c>
      <c r="BE580" t="s">
        <v>9219</v>
      </c>
      <c r="BF580" t="str">
        <f>HYPERLINK("http://dx.doi.org/10.1007/s10236-006-0068-z","http://dx.doi.org/10.1007/s10236-006-0068-z")</f>
        <v>http://dx.doi.org/10.1007/s10236-006-0068-z</v>
      </c>
      <c r="BG580" t="s">
        <v>74</v>
      </c>
      <c r="BH580" t="s">
        <v>74</v>
      </c>
      <c r="BI580">
        <v>12</v>
      </c>
      <c r="BJ580" t="s">
        <v>1260</v>
      </c>
      <c r="BK580" t="s">
        <v>97</v>
      </c>
      <c r="BL580" t="s">
        <v>1260</v>
      </c>
      <c r="BM580" t="s">
        <v>9220</v>
      </c>
      <c r="BN580" t="s">
        <v>74</v>
      </c>
      <c r="BO580" t="s">
        <v>74</v>
      </c>
      <c r="BP580" t="s">
        <v>74</v>
      </c>
      <c r="BQ580" t="s">
        <v>74</v>
      </c>
      <c r="BR580" t="s">
        <v>100</v>
      </c>
      <c r="BS580" t="s">
        <v>9221</v>
      </c>
      <c r="BT580" t="str">
        <f>HYPERLINK("https%3A%2F%2Fwww.webofscience.com%2Fwos%2Fwoscc%2Ffull-record%2FWOS:000243189900007","View Full Record in Web of Science")</f>
        <v>View Full Record in Web of Science</v>
      </c>
    </row>
    <row r="581" spans="1:72" x14ac:dyDescent="0.15">
      <c r="A581" t="s">
        <v>72</v>
      </c>
      <c r="B581" t="s">
        <v>9222</v>
      </c>
      <c r="C581" t="s">
        <v>74</v>
      </c>
      <c r="D581" t="s">
        <v>74</v>
      </c>
      <c r="E581" t="s">
        <v>74</v>
      </c>
      <c r="F581" t="s">
        <v>9223</v>
      </c>
      <c r="G581" t="s">
        <v>74</v>
      </c>
      <c r="H581" t="s">
        <v>74</v>
      </c>
      <c r="I581" t="s">
        <v>9224</v>
      </c>
      <c r="J581" t="s">
        <v>9225</v>
      </c>
      <c r="K581" t="s">
        <v>74</v>
      </c>
      <c r="L581" t="s">
        <v>74</v>
      </c>
      <c r="M581" t="s">
        <v>78</v>
      </c>
      <c r="N581" t="s">
        <v>79</v>
      </c>
      <c r="O581" t="s">
        <v>74</v>
      </c>
      <c r="P581" t="s">
        <v>74</v>
      </c>
      <c r="Q581" t="s">
        <v>74</v>
      </c>
      <c r="R581" t="s">
        <v>74</v>
      </c>
      <c r="S581" t="s">
        <v>74</v>
      </c>
      <c r="T581" t="s">
        <v>74</v>
      </c>
      <c r="U581" t="s">
        <v>9226</v>
      </c>
      <c r="V581" t="s">
        <v>9227</v>
      </c>
      <c r="W581" t="s">
        <v>9228</v>
      </c>
      <c r="X581" t="s">
        <v>9229</v>
      </c>
      <c r="Y581" t="s">
        <v>9230</v>
      </c>
      <c r="Z581" t="s">
        <v>74</v>
      </c>
      <c r="AA581" t="s">
        <v>9231</v>
      </c>
      <c r="AB581" t="s">
        <v>9232</v>
      </c>
      <c r="AC581" t="s">
        <v>74</v>
      </c>
      <c r="AD581" t="s">
        <v>74</v>
      </c>
      <c r="AE581" t="s">
        <v>74</v>
      </c>
      <c r="AF581" t="s">
        <v>74</v>
      </c>
      <c r="AG581">
        <v>21</v>
      </c>
      <c r="AH581">
        <v>4</v>
      </c>
      <c r="AI581">
        <v>4</v>
      </c>
      <c r="AJ581">
        <v>0</v>
      </c>
      <c r="AK581">
        <v>3</v>
      </c>
      <c r="AL581" t="s">
        <v>6640</v>
      </c>
      <c r="AM581" t="s">
        <v>678</v>
      </c>
      <c r="AN581" t="s">
        <v>6641</v>
      </c>
      <c r="AO581" t="s">
        <v>9233</v>
      </c>
      <c r="AP581" t="s">
        <v>74</v>
      </c>
      <c r="AQ581" t="s">
        <v>74</v>
      </c>
      <c r="AR581" t="s">
        <v>9234</v>
      </c>
      <c r="AS581" t="s">
        <v>9235</v>
      </c>
      <c r="AT581" t="s">
        <v>7963</v>
      </c>
      <c r="AU581">
        <v>2006</v>
      </c>
      <c r="AV581">
        <v>46</v>
      </c>
      <c r="AW581">
        <v>6</v>
      </c>
      <c r="AX581" t="s">
        <v>74</v>
      </c>
      <c r="AY581" t="s">
        <v>74</v>
      </c>
      <c r="AZ581" t="s">
        <v>74</v>
      </c>
      <c r="BA581" t="s">
        <v>74</v>
      </c>
      <c r="BB581">
        <v>772</v>
      </c>
      <c r="BC581">
        <v>783</v>
      </c>
      <c r="BD581" t="s">
        <v>74</v>
      </c>
      <c r="BE581" t="s">
        <v>9236</v>
      </c>
      <c r="BF581" t="str">
        <f>HYPERLINK("http://dx.doi.org/10.1134/S0001437006060026","http://dx.doi.org/10.1134/S0001437006060026")</f>
        <v>http://dx.doi.org/10.1134/S0001437006060026</v>
      </c>
      <c r="BG581" t="s">
        <v>74</v>
      </c>
      <c r="BH581" t="s">
        <v>74</v>
      </c>
      <c r="BI581">
        <v>12</v>
      </c>
      <c r="BJ581" t="s">
        <v>1260</v>
      </c>
      <c r="BK581" t="s">
        <v>97</v>
      </c>
      <c r="BL581" t="s">
        <v>1260</v>
      </c>
      <c r="BM581" t="s">
        <v>9237</v>
      </c>
      <c r="BN581" t="s">
        <v>74</v>
      </c>
      <c r="BO581" t="s">
        <v>1384</v>
      </c>
      <c r="BP581" t="s">
        <v>74</v>
      </c>
      <c r="BQ581" t="s">
        <v>74</v>
      </c>
      <c r="BR581" t="s">
        <v>100</v>
      </c>
      <c r="BS581" t="s">
        <v>9238</v>
      </c>
      <c r="BT581" t="str">
        <f>HYPERLINK("https%3A%2F%2Fwww.webofscience.com%2Fwos%2Fwoscc%2Ffull-record%2FWOS:000245652500002","View Full Record in Web of Science")</f>
        <v>View Full Record in Web of Science</v>
      </c>
    </row>
    <row r="582" spans="1:72" x14ac:dyDescent="0.15">
      <c r="A582" t="s">
        <v>72</v>
      </c>
      <c r="B582" t="s">
        <v>9239</v>
      </c>
      <c r="C582" t="s">
        <v>74</v>
      </c>
      <c r="D582" t="s">
        <v>74</v>
      </c>
      <c r="E582" t="s">
        <v>74</v>
      </c>
      <c r="F582" t="s">
        <v>9240</v>
      </c>
      <c r="G582" t="s">
        <v>74</v>
      </c>
      <c r="H582" t="s">
        <v>74</v>
      </c>
      <c r="I582" t="s">
        <v>9241</v>
      </c>
      <c r="J582" t="s">
        <v>9225</v>
      </c>
      <c r="K582" t="s">
        <v>74</v>
      </c>
      <c r="L582" t="s">
        <v>74</v>
      </c>
      <c r="M582" t="s">
        <v>78</v>
      </c>
      <c r="N582" t="s">
        <v>3296</v>
      </c>
      <c r="O582" t="s">
        <v>74</v>
      </c>
      <c r="P582" t="s">
        <v>74</v>
      </c>
      <c r="Q582" t="s">
        <v>74</v>
      </c>
      <c r="R582" t="s">
        <v>74</v>
      </c>
      <c r="S582" t="s">
        <v>74</v>
      </c>
      <c r="T582" t="s">
        <v>74</v>
      </c>
      <c r="U582" t="s">
        <v>74</v>
      </c>
      <c r="V582" t="s">
        <v>74</v>
      </c>
      <c r="W582" t="s">
        <v>9242</v>
      </c>
      <c r="X582" t="s">
        <v>9243</v>
      </c>
      <c r="Y582" t="s">
        <v>9244</v>
      </c>
      <c r="Z582" t="s">
        <v>74</v>
      </c>
      <c r="AA582" t="s">
        <v>9245</v>
      </c>
      <c r="AB582" t="s">
        <v>74</v>
      </c>
      <c r="AC582" t="s">
        <v>74</v>
      </c>
      <c r="AD582" t="s">
        <v>74</v>
      </c>
      <c r="AE582" t="s">
        <v>74</v>
      </c>
      <c r="AF582" t="s">
        <v>74</v>
      </c>
      <c r="AG582">
        <v>5</v>
      </c>
      <c r="AH582">
        <v>0</v>
      </c>
      <c r="AI582">
        <v>0</v>
      </c>
      <c r="AJ582">
        <v>0</v>
      </c>
      <c r="AK582">
        <v>0</v>
      </c>
      <c r="AL582" t="s">
        <v>6640</v>
      </c>
      <c r="AM582" t="s">
        <v>678</v>
      </c>
      <c r="AN582" t="s">
        <v>6641</v>
      </c>
      <c r="AO582" t="s">
        <v>9233</v>
      </c>
      <c r="AP582" t="s">
        <v>74</v>
      </c>
      <c r="AQ582" t="s">
        <v>74</v>
      </c>
      <c r="AR582" t="s">
        <v>9234</v>
      </c>
      <c r="AS582" t="s">
        <v>9235</v>
      </c>
      <c r="AT582" t="s">
        <v>7963</v>
      </c>
      <c r="AU582">
        <v>2006</v>
      </c>
      <c r="AV582">
        <v>46</v>
      </c>
      <c r="AW582">
        <v>6</v>
      </c>
      <c r="AX582" t="s">
        <v>74</v>
      </c>
      <c r="AY582" t="s">
        <v>74</v>
      </c>
      <c r="AZ582" t="s">
        <v>74</v>
      </c>
      <c r="BA582" t="s">
        <v>74</v>
      </c>
      <c r="BB582">
        <v>896</v>
      </c>
      <c r="BC582">
        <v>899</v>
      </c>
      <c r="BD582" t="s">
        <v>74</v>
      </c>
      <c r="BE582" t="s">
        <v>9246</v>
      </c>
      <c r="BF582" t="str">
        <f>HYPERLINK("http://dx.doi.org/10.1134/S0001437006060154","http://dx.doi.org/10.1134/S0001437006060154")</f>
        <v>http://dx.doi.org/10.1134/S0001437006060154</v>
      </c>
      <c r="BG582" t="s">
        <v>74</v>
      </c>
      <c r="BH582" t="s">
        <v>74</v>
      </c>
      <c r="BI582">
        <v>4</v>
      </c>
      <c r="BJ582" t="s">
        <v>1260</v>
      </c>
      <c r="BK582" t="s">
        <v>97</v>
      </c>
      <c r="BL582" t="s">
        <v>1260</v>
      </c>
      <c r="BM582" t="s">
        <v>9237</v>
      </c>
      <c r="BN582" t="s">
        <v>74</v>
      </c>
      <c r="BO582" t="s">
        <v>74</v>
      </c>
      <c r="BP582" t="s">
        <v>74</v>
      </c>
      <c r="BQ582" t="s">
        <v>74</v>
      </c>
      <c r="BR582" t="s">
        <v>100</v>
      </c>
      <c r="BS582" t="s">
        <v>9247</v>
      </c>
      <c r="BT582" t="str">
        <f>HYPERLINK("https%3A%2F%2Fwww.webofscience.com%2Fwos%2Fwoscc%2Ffull-record%2FWOS:000245652500015","View Full Record in Web of Science")</f>
        <v>View Full Record in Web of Science</v>
      </c>
    </row>
    <row r="583" spans="1:72" x14ac:dyDescent="0.15">
      <c r="A583" t="s">
        <v>72</v>
      </c>
      <c r="B583" t="s">
        <v>9248</v>
      </c>
      <c r="C583" t="s">
        <v>74</v>
      </c>
      <c r="D583" t="s">
        <v>74</v>
      </c>
      <c r="E583" t="s">
        <v>74</v>
      </c>
      <c r="F583" t="s">
        <v>9249</v>
      </c>
      <c r="G583" t="s">
        <v>74</v>
      </c>
      <c r="H583" t="s">
        <v>74</v>
      </c>
      <c r="I583" t="s">
        <v>9250</v>
      </c>
      <c r="J583" t="s">
        <v>9251</v>
      </c>
      <c r="K583" t="s">
        <v>74</v>
      </c>
      <c r="L583" t="s">
        <v>74</v>
      </c>
      <c r="M583" t="s">
        <v>78</v>
      </c>
      <c r="N583" t="s">
        <v>176</v>
      </c>
      <c r="O583" t="s">
        <v>9252</v>
      </c>
      <c r="P583" t="s">
        <v>9253</v>
      </c>
      <c r="Q583" t="s">
        <v>9254</v>
      </c>
      <c r="R583" t="s">
        <v>74</v>
      </c>
      <c r="S583" t="s">
        <v>74</v>
      </c>
      <c r="T583" t="s">
        <v>9255</v>
      </c>
      <c r="U583" t="s">
        <v>9256</v>
      </c>
      <c r="V583" t="s">
        <v>9257</v>
      </c>
      <c r="W583" t="s">
        <v>9258</v>
      </c>
      <c r="X583" t="s">
        <v>9259</v>
      </c>
      <c r="Y583" t="s">
        <v>9260</v>
      </c>
      <c r="Z583" t="s">
        <v>9261</v>
      </c>
      <c r="AA583" t="s">
        <v>9262</v>
      </c>
      <c r="AB583" t="s">
        <v>9263</v>
      </c>
      <c r="AC583" t="s">
        <v>74</v>
      </c>
      <c r="AD583" t="s">
        <v>74</v>
      </c>
      <c r="AE583" t="s">
        <v>74</v>
      </c>
      <c r="AF583" t="s">
        <v>74</v>
      </c>
      <c r="AG583">
        <v>44</v>
      </c>
      <c r="AH583">
        <v>1</v>
      </c>
      <c r="AI583">
        <v>1</v>
      </c>
      <c r="AJ583">
        <v>0</v>
      </c>
      <c r="AK583">
        <v>4</v>
      </c>
      <c r="AL583" t="s">
        <v>9251</v>
      </c>
      <c r="AM583" t="s">
        <v>9264</v>
      </c>
      <c r="AN583" t="s">
        <v>9265</v>
      </c>
      <c r="AO583" t="s">
        <v>9266</v>
      </c>
      <c r="AP583" t="s">
        <v>74</v>
      </c>
      <c r="AQ583" t="s">
        <v>74</v>
      </c>
      <c r="AR583" t="s">
        <v>9251</v>
      </c>
      <c r="AS583" t="s">
        <v>9267</v>
      </c>
      <c r="AT583" t="s">
        <v>7963</v>
      </c>
      <c r="AU583">
        <v>2006</v>
      </c>
      <c r="AV583">
        <v>31</v>
      </c>
      <c r="AW583">
        <v>2</v>
      </c>
      <c r="AX583" t="s">
        <v>74</v>
      </c>
      <c r="AY583" t="s">
        <v>74</v>
      </c>
      <c r="AZ583" t="s">
        <v>74</v>
      </c>
      <c r="BA583" t="s">
        <v>74</v>
      </c>
      <c r="BB583">
        <v>151</v>
      </c>
      <c r="BC583">
        <v>159</v>
      </c>
      <c r="BD583" t="s">
        <v>74</v>
      </c>
      <c r="BE583" t="s">
        <v>74</v>
      </c>
      <c r="BF583" t="s">
        <v>74</v>
      </c>
      <c r="BG583" t="s">
        <v>74</v>
      </c>
      <c r="BH583" t="s">
        <v>74</v>
      </c>
      <c r="BI583">
        <v>9</v>
      </c>
      <c r="BJ583" t="s">
        <v>642</v>
      </c>
      <c r="BK583" t="s">
        <v>197</v>
      </c>
      <c r="BL583" t="s">
        <v>642</v>
      </c>
      <c r="BM583" t="s">
        <v>9268</v>
      </c>
      <c r="BN583" t="s">
        <v>74</v>
      </c>
      <c r="BO583" t="s">
        <v>74</v>
      </c>
      <c r="BP583" t="s">
        <v>74</v>
      </c>
      <c r="BQ583" t="s">
        <v>74</v>
      </c>
      <c r="BR583" t="s">
        <v>100</v>
      </c>
      <c r="BS583" t="s">
        <v>9269</v>
      </c>
      <c r="BT583" t="str">
        <f>HYPERLINK("https%3A%2F%2Fwww.webofscience.com%2Fwos%2Fwoscc%2Ffull-record%2FWOS:000243330500011","View Full Record in Web of Science")</f>
        <v>View Full Record in Web of Science</v>
      </c>
    </row>
    <row r="584" spans="1:72" x14ac:dyDescent="0.15">
      <c r="A584" t="s">
        <v>72</v>
      </c>
      <c r="B584" t="s">
        <v>9270</v>
      </c>
      <c r="C584" t="s">
        <v>74</v>
      </c>
      <c r="D584" t="s">
        <v>74</v>
      </c>
      <c r="E584" t="s">
        <v>74</v>
      </c>
      <c r="F584" t="s">
        <v>9271</v>
      </c>
      <c r="G584" t="s">
        <v>74</v>
      </c>
      <c r="H584" t="s">
        <v>74</v>
      </c>
      <c r="I584" t="s">
        <v>9272</v>
      </c>
      <c r="J584" t="s">
        <v>9273</v>
      </c>
      <c r="K584" t="s">
        <v>74</v>
      </c>
      <c r="L584" t="s">
        <v>74</v>
      </c>
      <c r="M584" t="s">
        <v>78</v>
      </c>
      <c r="N584" t="s">
        <v>79</v>
      </c>
      <c r="O584" t="s">
        <v>74</v>
      </c>
      <c r="P584" t="s">
        <v>74</v>
      </c>
      <c r="Q584" t="s">
        <v>74</v>
      </c>
      <c r="R584" t="s">
        <v>74</v>
      </c>
      <c r="S584" t="s">
        <v>74</v>
      </c>
      <c r="T584" t="s">
        <v>9274</v>
      </c>
      <c r="U584" t="s">
        <v>9275</v>
      </c>
      <c r="V584" t="s">
        <v>9276</v>
      </c>
      <c r="W584" t="s">
        <v>9277</v>
      </c>
      <c r="X584" t="s">
        <v>9278</v>
      </c>
      <c r="Y584" t="s">
        <v>9279</v>
      </c>
      <c r="Z584" t="s">
        <v>9280</v>
      </c>
      <c r="AA584" t="s">
        <v>9281</v>
      </c>
      <c r="AB584" t="s">
        <v>9282</v>
      </c>
      <c r="AC584" t="s">
        <v>74</v>
      </c>
      <c r="AD584" t="s">
        <v>74</v>
      </c>
      <c r="AE584" t="s">
        <v>74</v>
      </c>
      <c r="AF584" t="s">
        <v>74</v>
      </c>
      <c r="AG584">
        <v>45</v>
      </c>
      <c r="AH584">
        <v>30</v>
      </c>
      <c r="AI584">
        <v>43</v>
      </c>
      <c r="AJ584">
        <v>0</v>
      </c>
      <c r="AK584">
        <v>17</v>
      </c>
      <c r="AL584" t="s">
        <v>613</v>
      </c>
      <c r="AM584" t="s">
        <v>678</v>
      </c>
      <c r="AN584" t="s">
        <v>5667</v>
      </c>
      <c r="AO584" t="s">
        <v>9283</v>
      </c>
      <c r="AP584" t="s">
        <v>74</v>
      </c>
      <c r="AQ584" t="s">
        <v>74</v>
      </c>
      <c r="AR584" t="s">
        <v>9284</v>
      </c>
      <c r="AS584" t="s">
        <v>9285</v>
      </c>
      <c r="AT584" t="s">
        <v>7963</v>
      </c>
      <c r="AU584">
        <v>2006</v>
      </c>
      <c r="AV584">
        <v>25</v>
      </c>
      <c r="AW584">
        <v>12</v>
      </c>
      <c r="AX584" t="s">
        <v>74</v>
      </c>
      <c r="AY584" t="s">
        <v>74</v>
      </c>
      <c r="AZ584" t="s">
        <v>74</v>
      </c>
      <c r="BA584" t="s">
        <v>74</v>
      </c>
      <c r="BB584">
        <v>1336</v>
      </c>
      <c r="BC584">
        <v>1346</v>
      </c>
      <c r="BD584" t="s">
        <v>74</v>
      </c>
      <c r="BE584" t="s">
        <v>9286</v>
      </c>
      <c r="BF584" t="str">
        <f>HYPERLINK("http://dx.doi.org/10.1007/s00299-006-0191-9","http://dx.doi.org/10.1007/s00299-006-0191-9")</f>
        <v>http://dx.doi.org/10.1007/s00299-006-0191-9</v>
      </c>
      <c r="BG584" t="s">
        <v>74</v>
      </c>
      <c r="BH584" t="s">
        <v>74</v>
      </c>
      <c r="BI584">
        <v>11</v>
      </c>
      <c r="BJ584" t="s">
        <v>576</v>
      </c>
      <c r="BK584" t="s">
        <v>97</v>
      </c>
      <c r="BL584" t="s">
        <v>576</v>
      </c>
      <c r="BM584" t="s">
        <v>9287</v>
      </c>
      <c r="BN584">
        <v>16847628</v>
      </c>
      <c r="BO584" t="s">
        <v>74</v>
      </c>
      <c r="BP584" t="s">
        <v>74</v>
      </c>
      <c r="BQ584" t="s">
        <v>74</v>
      </c>
      <c r="BR584" t="s">
        <v>100</v>
      </c>
      <c r="BS584" t="s">
        <v>9288</v>
      </c>
      <c r="BT584" t="str">
        <f>HYPERLINK("https%3A%2F%2Fwww.webofscience.com%2Fwos%2Fwoscc%2Ffull-record%2FWOS:000242150200010","View Full Record in Web of Science")</f>
        <v>View Full Record in Web of Science</v>
      </c>
    </row>
    <row r="585" spans="1:72" x14ac:dyDescent="0.15">
      <c r="A585" t="s">
        <v>72</v>
      </c>
      <c r="B585" t="s">
        <v>9289</v>
      </c>
      <c r="C585" t="s">
        <v>74</v>
      </c>
      <c r="D585" t="s">
        <v>74</v>
      </c>
      <c r="E585" t="s">
        <v>74</v>
      </c>
      <c r="F585" t="s">
        <v>9290</v>
      </c>
      <c r="G585" t="s">
        <v>74</v>
      </c>
      <c r="H585" t="s">
        <v>74</v>
      </c>
      <c r="I585" t="s">
        <v>9291</v>
      </c>
      <c r="J585" t="s">
        <v>5588</v>
      </c>
      <c r="K585" t="s">
        <v>74</v>
      </c>
      <c r="L585" t="s">
        <v>74</v>
      </c>
      <c r="M585" t="s">
        <v>78</v>
      </c>
      <c r="N585" t="s">
        <v>79</v>
      </c>
      <c r="O585" t="s">
        <v>74</v>
      </c>
      <c r="P585" t="s">
        <v>74</v>
      </c>
      <c r="Q585" t="s">
        <v>74</v>
      </c>
      <c r="R585" t="s">
        <v>74</v>
      </c>
      <c r="S585" t="s">
        <v>74</v>
      </c>
      <c r="T585" t="s">
        <v>74</v>
      </c>
      <c r="U585" t="s">
        <v>9292</v>
      </c>
      <c r="V585" t="s">
        <v>9293</v>
      </c>
      <c r="W585" t="s">
        <v>2461</v>
      </c>
      <c r="X585" t="s">
        <v>2462</v>
      </c>
      <c r="Y585" t="s">
        <v>9294</v>
      </c>
      <c r="Z585" t="s">
        <v>2464</v>
      </c>
      <c r="AA585" t="s">
        <v>9295</v>
      </c>
      <c r="AB585" t="s">
        <v>9296</v>
      </c>
      <c r="AC585" t="s">
        <v>74</v>
      </c>
      <c r="AD585" t="s">
        <v>74</v>
      </c>
      <c r="AE585" t="s">
        <v>74</v>
      </c>
      <c r="AF585" t="s">
        <v>74</v>
      </c>
      <c r="AG585">
        <v>51</v>
      </c>
      <c r="AH585">
        <v>4</v>
      </c>
      <c r="AI585">
        <v>4</v>
      </c>
      <c r="AJ585">
        <v>0</v>
      </c>
      <c r="AK585">
        <v>7</v>
      </c>
      <c r="AL585" t="s">
        <v>613</v>
      </c>
      <c r="AM585" t="s">
        <v>678</v>
      </c>
      <c r="AN585" t="s">
        <v>679</v>
      </c>
      <c r="AO585" t="s">
        <v>5597</v>
      </c>
      <c r="AP585" t="s">
        <v>5598</v>
      </c>
      <c r="AQ585" t="s">
        <v>74</v>
      </c>
      <c r="AR585" t="s">
        <v>5599</v>
      </c>
      <c r="AS585" t="s">
        <v>5600</v>
      </c>
      <c r="AT585" t="s">
        <v>7963</v>
      </c>
      <c r="AU585">
        <v>2006</v>
      </c>
      <c r="AV585">
        <v>30</v>
      </c>
      <c r="AW585">
        <v>1</v>
      </c>
      <c r="AX585" t="s">
        <v>74</v>
      </c>
      <c r="AY585" t="s">
        <v>74</v>
      </c>
      <c r="AZ585" t="s">
        <v>74</v>
      </c>
      <c r="BA585" t="s">
        <v>74</v>
      </c>
      <c r="BB585">
        <v>1</v>
      </c>
      <c r="BC585">
        <v>10</v>
      </c>
      <c r="BD585" t="s">
        <v>74</v>
      </c>
      <c r="BE585" t="s">
        <v>9297</v>
      </c>
      <c r="BF585" t="str">
        <f>HYPERLINK("http://dx.doi.org/10.1007/s00300-006-0153-2","http://dx.doi.org/10.1007/s00300-006-0153-2")</f>
        <v>http://dx.doi.org/10.1007/s00300-006-0153-2</v>
      </c>
      <c r="BG585" t="s">
        <v>74</v>
      </c>
      <c r="BH585" t="s">
        <v>74</v>
      </c>
      <c r="BI585">
        <v>10</v>
      </c>
      <c r="BJ585" t="s">
        <v>5602</v>
      </c>
      <c r="BK585" t="s">
        <v>97</v>
      </c>
      <c r="BL585" t="s">
        <v>5603</v>
      </c>
      <c r="BM585" t="s">
        <v>9298</v>
      </c>
      <c r="BN585" t="s">
        <v>74</v>
      </c>
      <c r="BO585" t="s">
        <v>74</v>
      </c>
      <c r="BP585" t="s">
        <v>74</v>
      </c>
      <c r="BQ585" t="s">
        <v>74</v>
      </c>
      <c r="BR585" t="s">
        <v>100</v>
      </c>
      <c r="BS585" t="s">
        <v>9299</v>
      </c>
      <c r="BT585" t="str">
        <f>HYPERLINK("https%3A%2F%2Fwww.webofscience.com%2Fwos%2Fwoscc%2Ffull-record%2FWOS:000242439000001","View Full Record in Web of Science")</f>
        <v>View Full Record in Web of Science</v>
      </c>
    </row>
    <row r="586" spans="1:72" x14ac:dyDescent="0.15">
      <c r="A586" t="s">
        <v>72</v>
      </c>
      <c r="B586" t="s">
        <v>9300</v>
      </c>
      <c r="C586" t="s">
        <v>74</v>
      </c>
      <c r="D586" t="s">
        <v>74</v>
      </c>
      <c r="E586" t="s">
        <v>74</v>
      </c>
      <c r="F586" t="s">
        <v>9301</v>
      </c>
      <c r="G586" t="s">
        <v>74</v>
      </c>
      <c r="H586" t="s">
        <v>74</v>
      </c>
      <c r="I586" t="s">
        <v>9302</v>
      </c>
      <c r="J586" t="s">
        <v>5588</v>
      </c>
      <c r="K586" t="s">
        <v>74</v>
      </c>
      <c r="L586" t="s">
        <v>74</v>
      </c>
      <c r="M586" t="s">
        <v>78</v>
      </c>
      <c r="N586" t="s">
        <v>79</v>
      </c>
      <c r="O586" t="s">
        <v>74</v>
      </c>
      <c r="P586" t="s">
        <v>74</v>
      </c>
      <c r="Q586" t="s">
        <v>74</v>
      </c>
      <c r="R586" t="s">
        <v>74</v>
      </c>
      <c r="S586" t="s">
        <v>74</v>
      </c>
      <c r="T586" t="s">
        <v>74</v>
      </c>
      <c r="U586" t="s">
        <v>9303</v>
      </c>
      <c r="V586" t="s">
        <v>9304</v>
      </c>
      <c r="W586" t="s">
        <v>9305</v>
      </c>
      <c r="X586" t="s">
        <v>9306</v>
      </c>
      <c r="Y586" t="s">
        <v>9307</v>
      </c>
      <c r="Z586" t="s">
        <v>9308</v>
      </c>
      <c r="AA586" t="s">
        <v>9309</v>
      </c>
      <c r="AB586" t="s">
        <v>9310</v>
      </c>
      <c r="AC586" t="s">
        <v>74</v>
      </c>
      <c r="AD586" t="s">
        <v>74</v>
      </c>
      <c r="AE586" t="s">
        <v>74</v>
      </c>
      <c r="AF586" t="s">
        <v>74</v>
      </c>
      <c r="AG586">
        <v>24</v>
      </c>
      <c r="AH586">
        <v>26</v>
      </c>
      <c r="AI586">
        <v>36</v>
      </c>
      <c r="AJ586">
        <v>0</v>
      </c>
      <c r="AK586">
        <v>10</v>
      </c>
      <c r="AL586" t="s">
        <v>613</v>
      </c>
      <c r="AM586" t="s">
        <v>678</v>
      </c>
      <c r="AN586" t="s">
        <v>4336</v>
      </c>
      <c r="AO586" t="s">
        <v>5597</v>
      </c>
      <c r="AP586" t="s">
        <v>74</v>
      </c>
      <c r="AQ586" t="s">
        <v>74</v>
      </c>
      <c r="AR586" t="s">
        <v>5599</v>
      </c>
      <c r="AS586" t="s">
        <v>5600</v>
      </c>
      <c r="AT586" t="s">
        <v>7963</v>
      </c>
      <c r="AU586">
        <v>2006</v>
      </c>
      <c r="AV586">
        <v>30</v>
      </c>
      <c r="AW586">
        <v>1</v>
      </c>
      <c r="AX586" t="s">
        <v>74</v>
      </c>
      <c r="AY586" t="s">
        <v>74</v>
      </c>
      <c r="AZ586" t="s">
        <v>74</v>
      </c>
      <c r="BA586" t="s">
        <v>74</v>
      </c>
      <c r="BB586">
        <v>19</v>
      </c>
      <c r="BC586">
        <v>29</v>
      </c>
      <c r="BD586" t="s">
        <v>74</v>
      </c>
      <c r="BE586" t="s">
        <v>9311</v>
      </c>
      <c r="BF586" t="str">
        <f>HYPERLINK("http://dx.doi.org/10.1007/s00300-006-0155-0","http://dx.doi.org/10.1007/s00300-006-0155-0")</f>
        <v>http://dx.doi.org/10.1007/s00300-006-0155-0</v>
      </c>
      <c r="BG586" t="s">
        <v>74</v>
      </c>
      <c r="BH586" t="s">
        <v>74</v>
      </c>
      <c r="BI586">
        <v>11</v>
      </c>
      <c r="BJ586" t="s">
        <v>5602</v>
      </c>
      <c r="BK586" t="s">
        <v>97</v>
      </c>
      <c r="BL586" t="s">
        <v>5603</v>
      </c>
      <c r="BM586" t="s">
        <v>9298</v>
      </c>
      <c r="BN586" t="s">
        <v>74</v>
      </c>
      <c r="BO586" t="s">
        <v>74</v>
      </c>
      <c r="BP586" t="s">
        <v>74</v>
      </c>
      <c r="BQ586" t="s">
        <v>74</v>
      </c>
      <c r="BR586" t="s">
        <v>100</v>
      </c>
      <c r="BS586" t="s">
        <v>9312</v>
      </c>
      <c r="BT586" t="str">
        <f>HYPERLINK("https%3A%2F%2Fwww.webofscience.com%2Fwos%2Fwoscc%2Ffull-record%2FWOS:000242439000003","View Full Record in Web of Science")</f>
        <v>View Full Record in Web of Science</v>
      </c>
    </row>
    <row r="587" spans="1:72" x14ac:dyDescent="0.15">
      <c r="A587" t="s">
        <v>72</v>
      </c>
      <c r="B587" t="s">
        <v>9313</v>
      </c>
      <c r="C587" t="s">
        <v>74</v>
      </c>
      <c r="D587" t="s">
        <v>74</v>
      </c>
      <c r="E587" t="s">
        <v>74</v>
      </c>
      <c r="F587" t="s">
        <v>9314</v>
      </c>
      <c r="G587" t="s">
        <v>74</v>
      </c>
      <c r="H587" t="s">
        <v>74</v>
      </c>
      <c r="I587" t="s">
        <v>9315</v>
      </c>
      <c r="J587" t="s">
        <v>5588</v>
      </c>
      <c r="K587" t="s">
        <v>74</v>
      </c>
      <c r="L587" t="s">
        <v>74</v>
      </c>
      <c r="M587" t="s">
        <v>78</v>
      </c>
      <c r="N587" t="s">
        <v>79</v>
      </c>
      <c r="O587" t="s">
        <v>74</v>
      </c>
      <c r="P587" t="s">
        <v>74</v>
      </c>
      <c r="Q587" t="s">
        <v>74</v>
      </c>
      <c r="R587" t="s">
        <v>74</v>
      </c>
      <c r="S587" t="s">
        <v>74</v>
      </c>
      <c r="T587" t="s">
        <v>74</v>
      </c>
      <c r="U587" t="s">
        <v>9316</v>
      </c>
      <c r="V587" t="s">
        <v>9317</v>
      </c>
      <c r="W587" t="s">
        <v>9318</v>
      </c>
      <c r="X587" t="s">
        <v>9319</v>
      </c>
      <c r="Y587" t="s">
        <v>9320</v>
      </c>
      <c r="Z587" t="s">
        <v>9321</v>
      </c>
      <c r="AA587" t="s">
        <v>9322</v>
      </c>
      <c r="AB587" t="s">
        <v>9323</v>
      </c>
      <c r="AC587" t="s">
        <v>74</v>
      </c>
      <c r="AD587" t="s">
        <v>74</v>
      </c>
      <c r="AE587" t="s">
        <v>74</v>
      </c>
      <c r="AF587" t="s">
        <v>74</v>
      </c>
      <c r="AG587">
        <v>21</v>
      </c>
      <c r="AH587">
        <v>55</v>
      </c>
      <c r="AI587">
        <v>59</v>
      </c>
      <c r="AJ587">
        <v>0</v>
      </c>
      <c r="AK587">
        <v>46</v>
      </c>
      <c r="AL587" t="s">
        <v>613</v>
      </c>
      <c r="AM587" t="s">
        <v>678</v>
      </c>
      <c r="AN587" t="s">
        <v>679</v>
      </c>
      <c r="AO587" t="s">
        <v>5597</v>
      </c>
      <c r="AP587" t="s">
        <v>5598</v>
      </c>
      <c r="AQ587" t="s">
        <v>74</v>
      </c>
      <c r="AR587" t="s">
        <v>5599</v>
      </c>
      <c r="AS587" t="s">
        <v>5600</v>
      </c>
      <c r="AT587" t="s">
        <v>7963</v>
      </c>
      <c r="AU587">
        <v>2006</v>
      </c>
      <c r="AV587">
        <v>30</v>
      </c>
      <c r="AW587">
        <v>1</v>
      </c>
      <c r="AX587" t="s">
        <v>74</v>
      </c>
      <c r="AY587" t="s">
        <v>74</v>
      </c>
      <c r="AZ587" t="s">
        <v>74</v>
      </c>
      <c r="BA587" t="s">
        <v>74</v>
      </c>
      <c r="BB587">
        <v>31</v>
      </c>
      <c r="BC587">
        <v>37</v>
      </c>
      <c r="BD587" t="s">
        <v>74</v>
      </c>
      <c r="BE587" t="s">
        <v>9324</v>
      </c>
      <c r="BF587" t="str">
        <f>HYPERLINK("http://dx.doi.org/10.1007/s00300-006-0156-z","http://dx.doi.org/10.1007/s00300-006-0156-z")</f>
        <v>http://dx.doi.org/10.1007/s00300-006-0156-z</v>
      </c>
      <c r="BG587" t="s">
        <v>74</v>
      </c>
      <c r="BH587" t="s">
        <v>74</v>
      </c>
      <c r="BI587">
        <v>7</v>
      </c>
      <c r="BJ587" t="s">
        <v>5602</v>
      </c>
      <c r="BK587" t="s">
        <v>97</v>
      </c>
      <c r="BL587" t="s">
        <v>5603</v>
      </c>
      <c r="BM587" t="s">
        <v>9298</v>
      </c>
      <c r="BN587" t="s">
        <v>74</v>
      </c>
      <c r="BO587" t="s">
        <v>74</v>
      </c>
      <c r="BP587" t="s">
        <v>74</v>
      </c>
      <c r="BQ587" t="s">
        <v>74</v>
      </c>
      <c r="BR587" t="s">
        <v>100</v>
      </c>
      <c r="BS587" t="s">
        <v>9325</v>
      </c>
      <c r="BT587" t="str">
        <f>HYPERLINK("https%3A%2F%2Fwww.webofscience.com%2Fwos%2Fwoscc%2Ffull-record%2FWOS:000242439000004","View Full Record in Web of Science")</f>
        <v>View Full Record in Web of Science</v>
      </c>
    </row>
    <row r="588" spans="1:72" x14ac:dyDescent="0.15">
      <c r="A588" t="s">
        <v>72</v>
      </c>
      <c r="B588" t="s">
        <v>9326</v>
      </c>
      <c r="C588" t="s">
        <v>74</v>
      </c>
      <c r="D588" t="s">
        <v>74</v>
      </c>
      <c r="E588" t="s">
        <v>74</v>
      </c>
      <c r="F588" t="s">
        <v>9327</v>
      </c>
      <c r="G588" t="s">
        <v>74</v>
      </c>
      <c r="H588" t="s">
        <v>74</v>
      </c>
      <c r="I588" t="s">
        <v>9328</v>
      </c>
      <c r="J588" t="s">
        <v>5588</v>
      </c>
      <c r="K588" t="s">
        <v>74</v>
      </c>
      <c r="L588" t="s">
        <v>74</v>
      </c>
      <c r="M588" t="s">
        <v>78</v>
      </c>
      <c r="N588" t="s">
        <v>79</v>
      </c>
      <c r="O588" t="s">
        <v>74</v>
      </c>
      <c r="P588" t="s">
        <v>74</v>
      </c>
      <c r="Q588" t="s">
        <v>74</v>
      </c>
      <c r="R588" t="s">
        <v>74</v>
      </c>
      <c r="S588" t="s">
        <v>74</v>
      </c>
      <c r="T588" t="s">
        <v>74</v>
      </c>
      <c r="U588" t="s">
        <v>9329</v>
      </c>
      <c r="V588" t="s">
        <v>9330</v>
      </c>
      <c r="W588" t="s">
        <v>9331</v>
      </c>
      <c r="X588" t="s">
        <v>9332</v>
      </c>
      <c r="Y588" t="s">
        <v>9333</v>
      </c>
      <c r="Z588" t="s">
        <v>9334</v>
      </c>
      <c r="AA588" t="s">
        <v>9335</v>
      </c>
      <c r="AB588" t="s">
        <v>9336</v>
      </c>
      <c r="AC588" t="s">
        <v>74</v>
      </c>
      <c r="AD588" t="s">
        <v>74</v>
      </c>
      <c r="AE588" t="s">
        <v>74</v>
      </c>
      <c r="AF588" t="s">
        <v>74</v>
      </c>
      <c r="AG588">
        <v>19</v>
      </c>
      <c r="AH588">
        <v>69</v>
      </c>
      <c r="AI588">
        <v>79</v>
      </c>
      <c r="AJ588">
        <v>1</v>
      </c>
      <c r="AK588">
        <v>14</v>
      </c>
      <c r="AL588" t="s">
        <v>613</v>
      </c>
      <c r="AM588" t="s">
        <v>678</v>
      </c>
      <c r="AN588" t="s">
        <v>5667</v>
      </c>
      <c r="AO588" t="s">
        <v>5597</v>
      </c>
      <c r="AP588" t="s">
        <v>5598</v>
      </c>
      <c r="AQ588" t="s">
        <v>74</v>
      </c>
      <c r="AR588" t="s">
        <v>5599</v>
      </c>
      <c r="AS588" t="s">
        <v>5600</v>
      </c>
      <c r="AT588" t="s">
        <v>7963</v>
      </c>
      <c r="AU588">
        <v>2006</v>
      </c>
      <c r="AV588">
        <v>30</v>
      </c>
      <c r="AW588">
        <v>1</v>
      </c>
      <c r="AX588" t="s">
        <v>74</v>
      </c>
      <c r="AY588" t="s">
        <v>74</v>
      </c>
      <c r="AZ588" t="s">
        <v>74</v>
      </c>
      <c r="BA588" t="s">
        <v>74</v>
      </c>
      <c r="BB588">
        <v>39</v>
      </c>
      <c r="BC588">
        <v>43</v>
      </c>
      <c r="BD588" t="s">
        <v>74</v>
      </c>
      <c r="BE588" t="s">
        <v>9337</v>
      </c>
      <c r="BF588" t="str">
        <f>HYPERLINK("http://dx.doi.org/10.1007/s00300-006-0157-y","http://dx.doi.org/10.1007/s00300-006-0157-y")</f>
        <v>http://dx.doi.org/10.1007/s00300-006-0157-y</v>
      </c>
      <c r="BG588" t="s">
        <v>74</v>
      </c>
      <c r="BH588" t="s">
        <v>74</v>
      </c>
      <c r="BI588">
        <v>5</v>
      </c>
      <c r="BJ588" t="s">
        <v>5602</v>
      </c>
      <c r="BK588" t="s">
        <v>97</v>
      </c>
      <c r="BL588" t="s">
        <v>5603</v>
      </c>
      <c r="BM588" t="s">
        <v>9298</v>
      </c>
      <c r="BN588" t="s">
        <v>74</v>
      </c>
      <c r="BO588" t="s">
        <v>74</v>
      </c>
      <c r="BP588" t="s">
        <v>74</v>
      </c>
      <c r="BQ588" t="s">
        <v>74</v>
      </c>
      <c r="BR588" t="s">
        <v>100</v>
      </c>
      <c r="BS588" t="s">
        <v>9338</v>
      </c>
      <c r="BT588" t="str">
        <f>HYPERLINK("https%3A%2F%2Fwww.webofscience.com%2Fwos%2Fwoscc%2Ffull-record%2FWOS:000242439000005","View Full Record in Web of Science")</f>
        <v>View Full Record in Web of Science</v>
      </c>
    </row>
    <row r="589" spans="1:72" x14ac:dyDescent="0.15">
      <c r="A589" t="s">
        <v>72</v>
      </c>
      <c r="B589" t="s">
        <v>9339</v>
      </c>
      <c r="C589" t="s">
        <v>74</v>
      </c>
      <c r="D589" t="s">
        <v>74</v>
      </c>
      <c r="E589" t="s">
        <v>74</v>
      </c>
      <c r="F589" t="s">
        <v>9340</v>
      </c>
      <c r="G589" t="s">
        <v>74</v>
      </c>
      <c r="H589" t="s">
        <v>74</v>
      </c>
      <c r="I589" t="s">
        <v>9341</v>
      </c>
      <c r="J589" t="s">
        <v>5588</v>
      </c>
      <c r="K589" t="s">
        <v>74</v>
      </c>
      <c r="L589" t="s">
        <v>74</v>
      </c>
      <c r="M589" t="s">
        <v>78</v>
      </c>
      <c r="N589" t="s">
        <v>79</v>
      </c>
      <c r="O589" t="s">
        <v>74</v>
      </c>
      <c r="P589" t="s">
        <v>74</v>
      </c>
      <c r="Q589" t="s">
        <v>74</v>
      </c>
      <c r="R589" t="s">
        <v>74</v>
      </c>
      <c r="S589" t="s">
        <v>74</v>
      </c>
      <c r="T589" t="s">
        <v>74</v>
      </c>
      <c r="U589" t="s">
        <v>9342</v>
      </c>
      <c r="V589" t="s">
        <v>9343</v>
      </c>
      <c r="W589" t="s">
        <v>9344</v>
      </c>
      <c r="X589" t="s">
        <v>9345</v>
      </c>
      <c r="Y589" t="s">
        <v>9346</v>
      </c>
      <c r="Z589" t="s">
        <v>9347</v>
      </c>
      <c r="AA589" t="s">
        <v>9348</v>
      </c>
      <c r="AB589" t="s">
        <v>9349</v>
      </c>
      <c r="AC589" t="s">
        <v>74</v>
      </c>
      <c r="AD589" t="s">
        <v>74</v>
      </c>
      <c r="AE589" t="s">
        <v>74</v>
      </c>
      <c r="AF589" t="s">
        <v>74</v>
      </c>
      <c r="AG589">
        <v>34</v>
      </c>
      <c r="AH589">
        <v>8</v>
      </c>
      <c r="AI589">
        <v>10</v>
      </c>
      <c r="AJ589">
        <v>1</v>
      </c>
      <c r="AK589">
        <v>16</v>
      </c>
      <c r="AL589" t="s">
        <v>613</v>
      </c>
      <c r="AM589" t="s">
        <v>678</v>
      </c>
      <c r="AN589" t="s">
        <v>679</v>
      </c>
      <c r="AO589" t="s">
        <v>5597</v>
      </c>
      <c r="AP589" t="s">
        <v>5598</v>
      </c>
      <c r="AQ589" t="s">
        <v>74</v>
      </c>
      <c r="AR589" t="s">
        <v>5599</v>
      </c>
      <c r="AS589" t="s">
        <v>5600</v>
      </c>
      <c r="AT589" t="s">
        <v>7963</v>
      </c>
      <c r="AU589">
        <v>2006</v>
      </c>
      <c r="AV589">
        <v>30</v>
      </c>
      <c r="AW589">
        <v>1</v>
      </c>
      <c r="AX589" t="s">
        <v>74</v>
      </c>
      <c r="AY589" t="s">
        <v>74</v>
      </c>
      <c r="AZ589" t="s">
        <v>74</v>
      </c>
      <c r="BA589" t="s">
        <v>74</v>
      </c>
      <c r="BB589">
        <v>69</v>
      </c>
      <c r="BC589">
        <v>74</v>
      </c>
      <c r="BD589" t="s">
        <v>74</v>
      </c>
      <c r="BE589" t="s">
        <v>9350</v>
      </c>
      <c r="BF589" t="str">
        <f>HYPERLINK("http://dx.doi.org/10.1007/s00300-006-0161-2","http://dx.doi.org/10.1007/s00300-006-0161-2")</f>
        <v>http://dx.doi.org/10.1007/s00300-006-0161-2</v>
      </c>
      <c r="BG589" t="s">
        <v>74</v>
      </c>
      <c r="BH589" t="s">
        <v>74</v>
      </c>
      <c r="BI589">
        <v>6</v>
      </c>
      <c r="BJ589" t="s">
        <v>5602</v>
      </c>
      <c r="BK589" t="s">
        <v>97</v>
      </c>
      <c r="BL589" t="s">
        <v>5603</v>
      </c>
      <c r="BM589" t="s">
        <v>9298</v>
      </c>
      <c r="BN589" t="s">
        <v>74</v>
      </c>
      <c r="BO589" t="s">
        <v>74</v>
      </c>
      <c r="BP589" t="s">
        <v>74</v>
      </c>
      <c r="BQ589" t="s">
        <v>74</v>
      </c>
      <c r="BR589" t="s">
        <v>100</v>
      </c>
      <c r="BS589" t="s">
        <v>9351</v>
      </c>
      <c r="BT589" t="str">
        <f>HYPERLINK("https%3A%2F%2Fwww.webofscience.com%2Fwos%2Fwoscc%2Ffull-record%2FWOS:000242439000009","View Full Record in Web of Science")</f>
        <v>View Full Record in Web of Science</v>
      </c>
    </row>
    <row r="590" spans="1:72" x14ac:dyDescent="0.15">
      <c r="A590" t="s">
        <v>72</v>
      </c>
      <c r="B590" t="s">
        <v>9352</v>
      </c>
      <c r="C590" t="s">
        <v>74</v>
      </c>
      <c r="D590" t="s">
        <v>74</v>
      </c>
      <c r="E590" t="s">
        <v>74</v>
      </c>
      <c r="F590" t="s">
        <v>9353</v>
      </c>
      <c r="G590" t="s">
        <v>74</v>
      </c>
      <c r="H590" t="s">
        <v>74</v>
      </c>
      <c r="I590" t="s">
        <v>9354</v>
      </c>
      <c r="J590" t="s">
        <v>5588</v>
      </c>
      <c r="K590" t="s">
        <v>74</v>
      </c>
      <c r="L590" t="s">
        <v>74</v>
      </c>
      <c r="M590" t="s">
        <v>78</v>
      </c>
      <c r="N590" t="s">
        <v>79</v>
      </c>
      <c r="O590" t="s">
        <v>74</v>
      </c>
      <c r="P590" t="s">
        <v>74</v>
      </c>
      <c r="Q590" t="s">
        <v>74</v>
      </c>
      <c r="R590" t="s">
        <v>74</v>
      </c>
      <c r="S590" t="s">
        <v>74</v>
      </c>
      <c r="T590" t="s">
        <v>74</v>
      </c>
      <c r="U590" t="s">
        <v>9355</v>
      </c>
      <c r="V590" t="s">
        <v>9356</v>
      </c>
      <c r="W590" t="s">
        <v>9357</v>
      </c>
      <c r="X590" t="s">
        <v>9358</v>
      </c>
      <c r="Y590" t="s">
        <v>9359</v>
      </c>
      <c r="Z590" t="s">
        <v>9360</v>
      </c>
      <c r="AA590" t="s">
        <v>9361</v>
      </c>
      <c r="AB590" t="s">
        <v>9362</v>
      </c>
      <c r="AC590" t="s">
        <v>74</v>
      </c>
      <c r="AD590" t="s">
        <v>74</v>
      </c>
      <c r="AE590" t="s">
        <v>74</v>
      </c>
      <c r="AF590" t="s">
        <v>74</v>
      </c>
      <c r="AG590">
        <v>28</v>
      </c>
      <c r="AH590">
        <v>10</v>
      </c>
      <c r="AI590">
        <v>13</v>
      </c>
      <c r="AJ590">
        <v>0</v>
      </c>
      <c r="AK590">
        <v>5</v>
      </c>
      <c r="AL590" t="s">
        <v>613</v>
      </c>
      <c r="AM590" t="s">
        <v>678</v>
      </c>
      <c r="AN590" t="s">
        <v>5667</v>
      </c>
      <c r="AO590" t="s">
        <v>5597</v>
      </c>
      <c r="AP590" t="s">
        <v>74</v>
      </c>
      <c r="AQ590" t="s">
        <v>74</v>
      </c>
      <c r="AR590" t="s">
        <v>5599</v>
      </c>
      <c r="AS590" t="s">
        <v>5600</v>
      </c>
      <c r="AT590" t="s">
        <v>7963</v>
      </c>
      <c r="AU590">
        <v>2006</v>
      </c>
      <c r="AV590">
        <v>30</v>
      </c>
      <c r="AW590">
        <v>1</v>
      </c>
      <c r="AX590" t="s">
        <v>74</v>
      </c>
      <c r="AY590" t="s">
        <v>74</v>
      </c>
      <c r="AZ590" t="s">
        <v>74</v>
      </c>
      <c r="BA590" t="s">
        <v>74</v>
      </c>
      <c r="BB590">
        <v>75</v>
      </c>
      <c r="BC590">
        <v>82</v>
      </c>
      <c r="BD590" t="s">
        <v>74</v>
      </c>
      <c r="BE590" t="s">
        <v>9363</v>
      </c>
      <c r="BF590" t="str">
        <f>HYPERLINK("http://dx.doi.org/10.1007/s00300-006-0162-1","http://dx.doi.org/10.1007/s00300-006-0162-1")</f>
        <v>http://dx.doi.org/10.1007/s00300-006-0162-1</v>
      </c>
      <c r="BG590" t="s">
        <v>74</v>
      </c>
      <c r="BH590" t="s">
        <v>74</v>
      </c>
      <c r="BI590">
        <v>8</v>
      </c>
      <c r="BJ590" t="s">
        <v>5602</v>
      </c>
      <c r="BK590" t="s">
        <v>97</v>
      </c>
      <c r="BL590" t="s">
        <v>5603</v>
      </c>
      <c r="BM590" t="s">
        <v>9298</v>
      </c>
      <c r="BN590" t="s">
        <v>74</v>
      </c>
      <c r="BO590" t="s">
        <v>74</v>
      </c>
      <c r="BP590" t="s">
        <v>74</v>
      </c>
      <c r="BQ590" t="s">
        <v>74</v>
      </c>
      <c r="BR590" t="s">
        <v>100</v>
      </c>
      <c r="BS590" t="s">
        <v>9364</v>
      </c>
      <c r="BT590" t="str">
        <f>HYPERLINK("https%3A%2F%2Fwww.webofscience.com%2Fwos%2Fwoscc%2Ffull-record%2FWOS:000242439000010","View Full Record in Web of Science")</f>
        <v>View Full Record in Web of Science</v>
      </c>
    </row>
    <row r="591" spans="1:72" x14ac:dyDescent="0.15">
      <c r="A591" t="s">
        <v>72</v>
      </c>
      <c r="B591" t="s">
        <v>9365</v>
      </c>
      <c r="C591" t="s">
        <v>74</v>
      </c>
      <c r="D591" t="s">
        <v>74</v>
      </c>
      <c r="E591" t="s">
        <v>74</v>
      </c>
      <c r="F591" t="s">
        <v>9366</v>
      </c>
      <c r="G591" t="s">
        <v>74</v>
      </c>
      <c r="H591" t="s">
        <v>74</v>
      </c>
      <c r="I591" t="s">
        <v>9367</v>
      </c>
      <c r="J591" t="s">
        <v>5588</v>
      </c>
      <c r="K591" t="s">
        <v>74</v>
      </c>
      <c r="L591" t="s">
        <v>74</v>
      </c>
      <c r="M591" t="s">
        <v>78</v>
      </c>
      <c r="N591" t="s">
        <v>79</v>
      </c>
      <c r="O591" t="s">
        <v>74</v>
      </c>
      <c r="P591" t="s">
        <v>74</v>
      </c>
      <c r="Q591" t="s">
        <v>74</v>
      </c>
      <c r="R591" t="s">
        <v>74</v>
      </c>
      <c r="S591" t="s">
        <v>74</v>
      </c>
      <c r="T591" t="s">
        <v>74</v>
      </c>
      <c r="U591" t="s">
        <v>9368</v>
      </c>
      <c r="V591" t="s">
        <v>9369</v>
      </c>
      <c r="W591" t="s">
        <v>9370</v>
      </c>
      <c r="X591" t="s">
        <v>9371</v>
      </c>
      <c r="Y591" t="s">
        <v>9372</v>
      </c>
      <c r="Z591" t="s">
        <v>9373</v>
      </c>
      <c r="AA591" t="s">
        <v>74</v>
      </c>
      <c r="AB591" t="s">
        <v>74</v>
      </c>
      <c r="AC591" t="s">
        <v>74</v>
      </c>
      <c r="AD591" t="s">
        <v>74</v>
      </c>
      <c r="AE591" t="s">
        <v>74</v>
      </c>
      <c r="AF591" t="s">
        <v>74</v>
      </c>
      <c r="AG591">
        <v>60</v>
      </c>
      <c r="AH591">
        <v>22</v>
      </c>
      <c r="AI591">
        <v>25</v>
      </c>
      <c r="AJ591">
        <v>0</v>
      </c>
      <c r="AK591">
        <v>11</v>
      </c>
      <c r="AL591" t="s">
        <v>613</v>
      </c>
      <c r="AM591" t="s">
        <v>678</v>
      </c>
      <c r="AN591" t="s">
        <v>5667</v>
      </c>
      <c r="AO591" t="s">
        <v>5597</v>
      </c>
      <c r="AP591" t="s">
        <v>5598</v>
      </c>
      <c r="AQ591" t="s">
        <v>74</v>
      </c>
      <c r="AR591" t="s">
        <v>5599</v>
      </c>
      <c r="AS591" t="s">
        <v>5600</v>
      </c>
      <c r="AT591" t="s">
        <v>7963</v>
      </c>
      <c r="AU591">
        <v>2006</v>
      </c>
      <c r="AV591">
        <v>30</v>
      </c>
      <c r="AW591">
        <v>1</v>
      </c>
      <c r="AX591" t="s">
        <v>74</v>
      </c>
      <c r="AY591" t="s">
        <v>74</v>
      </c>
      <c r="AZ591" t="s">
        <v>74</v>
      </c>
      <c r="BA591" t="s">
        <v>74</v>
      </c>
      <c r="BB591">
        <v>83</v>
      </c>
      <c r="BC591">
        <v>94</v>
      </c>
      <c r="BD591" t="s">
        <v>74</v>
      </c>
      <c r="BE591" t="s">
        <v>9374</v>
      </c>
      <c r="BF591" t="str">
        <f>HYPERLINK("http://dx.doi.org/10.1007/s00300-006-0163-0","http://dx.doi.org/10.1007/s00300-006-0163-0")</f>
        <v>http://dx.doi.org/10.1007/s00300-006-0163-0</v>
      </c>
      <c r="BG591" t="s">
        <v>74</v>
      </c>
      <c r="BH591" t="s">
        <v>74</v>
      </c>
      <c r="BI591">
        <v>12</v>
      </c>
      <c r="BJ591" t="s">
        <v>5602</v>
      </c>
      <c r="BK591" t="s">
        <v>97</v>
      </c>
      <c r="BL591" t="s">
        <v>5603</v>
      </c>
      <c r="BM591" t="s">
        <v>9298</v>
      </c>
      <c r="BN591" t="s">
        <v>74</v>
      </c>
      <c r="BO591" t="s">
        <v>74</v>
      </c>
      <c r="BP591" t="s">
        <v>74</v>
      </c>
      <c r="BQ591" t="s">
        <v>74</v>
      </c>
      <c r="BR591" t="s">
        <v>100</v>
      </c>
      <c r="BS591" t="s">
        <v>9375</v>
      </c>
      <c r="BT591" t="str">
        <f>HYPERLINK("https%3A%2F%2Fwww.webofscience.com%2Fwos%2Fwoscc%2Ffull-record%2FWOS:000242439000011","View Full Record in Web of Science")</f>
        <v>View Full Record in Web of Science</v>
      </c>
    </row>
    <row r="592" spans="1:72" x14ac:dyDescent="0.15">
      <c r="A592" t="s">
        <v>72</v>
      </c>
      <c r="B592" t="s">
        <v>9376</v>
      </c>
      <c r="C592" t="s">
        <v>74</v>
      </c>
      <c r="D592" t="s">
        <v>74</v>
      </c>
      <c r="E592" t="s">
        <v>74</v>
      </c>
      <c r="F592" t="s">
        <v>9377</v>
      </c>
      <c r="G592" t="s">
        <v>74</v>
      </c>
      <c r="H592" t="s">
        <v>74</v>
      </c>
      <c r="I592" t="s">
        <v>9378</v>
      </c>
      <c r="J592" t="s">
        <v>5588</v>
      </c>
      <c r="K592" t="s">
        <v>74</v>
      </c>
      <c r="L592" t="s">
        <v>74</v>
      </c>
      <c r="M592" t="s">
        <v>78</v>
      </c>
      <c r="N592" t="s">
        <v>79</v>
      </c>
      <c r="O592" t="s">
        <v>74</v>
      </c>
      <c r="P592" t="s">
        <v>74</v>
      </c>
      <c r="Q592" t="s">
        <v>74</v>
      </c>
      <c r="R592" t="s">
        <v>74</v>
      </c>
      <c r="S592" t="s">
        <v>74</v>
      </c>
      <c r="T592" t="s">
        <v>74</v>
      </c>
      <c r="U592" t="s">
        <v>9379</v>
      </c>
      <c r="V592" t="s">
        <v>9380</v>
      </c>
      <c r="W592" t="s">
        <v>7668</v>
      </c>
      <c r="X592" t="s">
        <v>1829</v>
      </c>
      <c r="Y592" t="s">
        <v>9381</v>
      </c>
      <c r="Z592" t="s">
        <v>9382</v>
      </c>
      <c r="AA592" t="s">
        <v>9383</v>
      </c>
      <c r="AB592" t="s">
        <v>9384</v>
      </c>
      <c r="AC592" t="s">
        <v>74</v>
      </c>
      <c r="AD592" t="s">
        <v>74</v>
      </c>
      <c r="AE592" t="s">
        <v>74</v>
      </c>
      <c r="AF592" t="s">
        <v>74</v>
      </c>
      <c r="AG592">
        <v>84</v>
      </c>
      <c r="AH592">
        <v>43</v>
      </c>
      <c r="AI592">
        <v>44</v>
      </c>
      <c r="AJ592">
        <v>0</v>
      </c>
      <c r="AK592">
        <v>33</v>
      </c>
      <c r="AL592" t="s">
        <v>613</v>
      </c>
      <c r="AM592" t="s">
        <v>678</v>
      </c>
      <c r="AN592" t="s">
        <v>679</v>
      </c>
      <c r="AO592" t="s">
        <v>5597</v>
      </c>
      <c r="AP592" t="s">
        <v>5598</v>
      </c>
      <c r="AQ592" t="s">
        <v>74</v>
      </c>
      <c r="AR592" t="s">
        <v>5599</v>
      </c>
      <c r="AS592" t="s">
        <v>5600</v>
      </c>
      <c r="AT592" t="s">
        <v>7963</v>
      </c>
      <c r="AU592">
        <v>2006</v>
      </c>
      <c r="AV592">
        <v>30</v>
      </c>
      <c r="AW592">
        <v>1</v>
      </c>
      <c r="AX592" t="s">
        <v>74</v>
      </c>
      <c r="AY592" t="s">
        <v>74</v>
      </c>
      <c r="AZ592" t="s">
        <v>74</v>
      </c>
      <c r="BA592" t="s">
        <v>74</v>
      </c>
      <c r="BB592">
        <v>95</v>
      </c>
      <c r="BC592">
        <v>107</v>
      </c>
      <c r="BD592" t="s">
        <v>74</v>
      </c>
      <c r="BE592" t="s">
        <v>9385</v>
      </c>
      <c r="BF592" t="str">
        <f>HYPERLINK("http://dx.doi.org/10.1007/s00300-006-0165-y","http://dx.doi.org/10.1007/s00300-006-0165-y")</f>
        <v>http://dx.doi.org/10.1007/s00300-006-0165-y</v>
      </c>
      <c r="BG592" t="s">
        <v>74</v>
      </c>
      <c r="BH592" t="s">
        <v>74</v>
      </c>
      <c r="BI592">
        <v>13</v>
      </c>
      <c r="BJ592" t="s">
        <v>5602</v>
      </c>
      <c r="BK592" t="s">
        <v>97</v>
      </c>
      <c r="BL592" t="s">
        <v>5603</v>
      </c>
      <c r="BM592" t="s">
        <v>9298</v>
      </c>
      <c r="BN592" t="s">
        <v>74</v>
      </c>
      <c r="BO592" t="s">
        <v>74</v>
      </c>
      <c r="BP592" t="s">
        <v>74</v>
      </c>
      <c r="BQ592" t="s">
        <v>74</v>
      </c>
      <c r="BR592" t="s">
        <v>100</v>
      </c>
      <c r="BS592" t="s">
        <v>9386</v>
      </c>
      <c r="BT592" t="str">
        <f>HYPERLINK("https%3A%2F%2Fwww.webofscience.com%2Fwos%2Fwoscc%2Ffull-record%2FWOS:000242439000012","View Full Record in Web of Science")</f>
        <v>View Full Record in Web of Science</v>
      </c>
    </row>
    <row r="593" spans="1:72" x14ac:dyDescent="0.15">
      <c r="A593" t="s">
        <v>72</v>
      </c>
      <c r="B593" t="s">
        <v>9387</v>
      </c>
      <c r="C593" t="s">
        <v>74</v>
      </c>
      <c r="D593" t="s">
        <v>74</v>
      </c>
      <c r="E593" t="s">
        <v>74</v>
      </c>
      <c r="F593" t="s">
        <v>9388</v>
      </c>
      <c r="G593" t="s">
        <v>74</v>
      </c>
      <c r="H593" t="s">
        <v>74</v>
      </c>
      <c r="I593" t="s">
        <v>9389</v>
      </c>
      <c r="J593" t="s">
        <v>5588</v>
      </c>
      <c r="K593" t="s">
        <v>74</v>
      </c>
      <c r="L593" t="s">
        <v>74</v>
      </c>
      <c r="M593" t="s">
        <v>78</v>
      </c>
      <c r="N593" t="s">
        <v>79</v>
      </c>
      <c r="O593" t="s">
        <v>74</v>
      </c>
      <c r="P593" t="s">
        <v>74</v>
      </c>
      <c r="Q593" t="s">
        <v>74</v>
      </c>
      <c r="R593" t="s">
        <v>74</v>
      </c>
      <c r="S593" t="s">
        <v>74</v>
      </c>
      <c r="T593" t="s">
        <v>74</v>
      </c>
      <c r="U593" t="s">
        <v>9390</v>
      </c>
      <c r="V593" t="s">
        <v>9391</v>
      </c>
      <c r="W593" t="s">
        <v>9392</v>
      </c>
      <c r="X593" t="s">
        <v>9393</v>
      </c>
      <c r="Y593" t="s">
        <v>9394</v>
      </c>
      <c r="Z593" t="s">
        <v>9395</v>
      </c>
      <c r="AA593" t="s">
        <v>9396</v>
      </c>
      <c r="AB593" t="s">
        <v>9397</v>
      </c>
      <c r="AC593" t="s">
        <v>74</v>
      </c>
      <c r="AD593" t="s">
        <v>74</v>
      </c>
      <c r="AE593" t="s">
        <v>74</v>
      </c>
      <c r="AF593" t="s">
        <v>74</v>
      </c>
      <c r="AG593">
        <v>74</v>
      </c>
      <c r="AH593">
        <v>12</v>
      </c>
      <c r="AI593">
        <v>15</v>
      </c>
      <c r="AJ593">
        <v>0</v>
      </c>
      <c r="AK593">
        <v>19</v>
      </c>
      <c r="AL593" t="s">
        <v>613</v>
      </c>
      <c r="AM593" t="s">
        <v>678</v>
      </c>
      <c r="AN593" t="s">
        <v>679</v>
      </c>
      <c r="AO593" t="s">
        <v>5597</v>
      </c>
      <c r="AP593" t="s">
        <v>5598</v>
      </c>
      <c r="AQ593" t="s">
        <v>74</v>
      </c>
      <c r="AR593" t="s">
        <v>5599</v>
      </c>
      <c r="AS593" t="s">
        <v>5600</v>
      </c>
      <c r="AT593" t="s">
        <v>7963</v>
      </c>
      <c r="AU593">
        <v>2006</v>
      </c>
      <c r="AV593">
        <v>30</v>
      </c>
      <c r="AW593">
        <v>1</v>
      </c>
      <c r="AX593" t="s">
        <v>74</v>
      </c>
      <c r="AY593" t="s">
        <v>74</v>
      </c>
      <c r="AZ593" t="s">
        <v>74</v>
      </c>
      <c r="BA593" t="s">
        <v>74</v>
      </c>
      <c r="BB593">
        <v>109</v>
      </c>
      <c r="BC593">
        <v>119</v>
      </c>
      <c r="BD593" t="s">
        <v>74</v>
      </c>
      <c r="BE593" t="s">
        <v>9398</v>
      </c>
      <c r="BF593" t="str">
        <f>HYPERLINK("http://dx.doi.org/10.1007/s00300-006-0166-x","http://dx.doi.org/10.1007/s00300-006-0166-x")</f>
        <v>http://dx.doi.org/10.1007/s00300-006-0166-x</v>
      </c>
      <c r="BG593" t="s">
        <v>74</v>
      </c>
      <c r="BH593" t="s">
        <v>74</v>
      </c>
      <c r="BI593">
        <v>11</v>
      </c>
      <c r="BJ593" t="s">
        <v>5602</v>
      </c>
      <c r="BK593" t="s">
        <v>97</v>
      </c>
      <c r="BL593" t="s">
        <v>5603</v>
      </c>
      <c r="BM593" t="s">
        <v>9298</v>
      </c>
      <c r="BN593" t="s">
        <v>74</v>
      </c>
      <c r="BO593" t="s">
        <v>74</v>
      </c>
      <c r="BP593" t="s">
        <v>74</v>
      </c>
      <c r="BQ593" t="s">
        <v>74</v>
      </c>
      <c r="BR593" t="s">
        <v>100</v>
      </c>
      <c r="BS593" t="s">
        <v>9399</v>
      </c>
      <c r="BT593" t="str">
        <f>HYPERLINK("https%3A%2F%2Fwww.webofscience.com%2Fwos%2Fwoscc%2Ffull-record%2FWOS:000242439000013","View Full Record in Web of Science")</f>
        <v>View Full Record in Web of Science</v>
      </c>
    </row>
    <row r="594" spans="1:72" x14ac:dyDescent="0.15">
      <c r="A594" t="s">
        <v>72</v>
      </c>
      <c r="B594" t="s">
        <v>9400</v>
      </c>
      <c r="C594" t="s">
        <v>74</v>
      </c>
      <c r="D594" t="s">
        <v>74</v>
      </c>
      <c r="E594" t="s">
        <v>74</v>
      </c>
      <c r="F594" t="s">
        <v>9401</v>
      </c>
      <c r="G594" t="s">
        <v>74</v>
      </c>
      <c r="H594" t="s">
        <v>74</v>
      </c>
      <c r="I594" t="s">
        <v>9402</v>
      </c>
      <c r="J594" t="s">
        <v>9403</v>
      </c>
      <c r="K594" t="s">
        <v>74</v>
      </c>
      <c r="L594" t="s">
        <v>74</v>
      </c>
      <c r="M594" t="s">
        <v>830</v>
      </c>
      <c r="N594" t="s">
        <v>79</v>
      </c>
      <c r="O594" t="s">
        <v>74</v>
      </c>
      <c r="P594" t="s">
        <v>74</v>
      </c>
      <c r="Q594" t="s">
        <v>74</v>
      </c>
      <c r="R594" t="s">
        <v>74</v>
      </c>
      <c r="S594" t="s">
        <v>74</v>
      </c>
      <c r="T594" t="s">
        <v>9404</v>
      </c>
      <c r="U594" t="s">
        <v>9405</v>
      </c>
      <c r="V594" t="s">
        <v>9406</v>
      </c>
      <c r="W594" t="s">
        <v>9407</v>
      </c>
      <c r="X594" t="s">
        <v>74</v>
      </c>
      <c r="Y594" t="s">
        <v>9408</v>
      </c>
      <c r="Z594" t="s">
        <v>9409</v>
      </c>
      <c r="AA594" t="s">
        <v>9410</v>
      </c>
      <c r="AB594" t="s">
        <v>9411</v>
      </c>
      <c r="AC594" t="s">
        <v>74</v>
      </c>
      <c r="AD594" t="s">
        <v>74</v>
      </c>
      <c r="AE594" t="s">
        <v>74</v>
      </c>
      <c r="AF594" t="s">
        <v>74</v>
      </c>
      <c r="AG594">
        <v>24</v>
      </c>
      <c r="AH594">
        <v>5</v>
      </c>
      <c r="AI594">
        <v>15</v>
      </c>
      <c r="AJ594">
        <v>0</v>
      </c>
      <c r="AK594">
        <v>3</v>
      </c>
      <c r="AL594" t="s">
        <v>9412</v>
      </c>
      <c r="AM594" t="s">
        <v>860</v>
      </c>
      <c r="AN594" t="s">
        <v>9413</v>
      </c>
      <c r="AO594" t="s">
        <v>9414</v>
      </c>
      <c r="AP594" t="s">
        <v>74</v>
      </c>
      <c r="AQ594" t="s">
        <v>74</v>
      </c>
      <c r="AR594" t="s">
        <v>9415</v>
      </c>
      <c r="AS594" t="s">
        <v>9416</v>
      </c>
      <c r="AT594" t="s">
        <v>7963</v>
      </c>
      <c r="AU594">
        <v>2006</v>
      </c>
      <c r="AV594">
        <v>33</v>
      </c>
      <c r="AW594">
        <v>12</v>
      </c>
      <c r="AX594" t="s">
        <v>74</v>
      </c>
      <c r="AY594" t="s">
        <v>74</v>
      </c>
      <c r="AZ594" t="s">
        <v>74</v>
      </c>
      <c r="BA594" t="s">
        <v>74</v>
      </c>
      <c r="BB594">
        <v>1207</v>
      </c>
      <c r="BC594">
        <v>1214</v>
      </c>
      <c r="BD594" t="s">
        <v>74</v>
      </c>
      <c r="BE594" t="s">
        <v>74</v>
      </c>
      <c r="BF594" t="s">
        <v>74</v>
      </c>
      <c r="BG594" t="s">
        <v>74</v>
      </c>
      <c r="BH594" t="s">
        <v>74</v>
      </c>
      <c r="BI594">
        <v>8</v>
      </c>
      <c r="BJ594" t="s">
        <v>9417</v>
      </c>
      <c r="BK594" t="s">
        <v>97</v>
      </c>
      <c r="BL594" t="s">
        <v>9417</v>
      </c>
      <c r="BM594" t="s">
        <v>9418</v>
      </c>
      <c r="BN594" t="s">
        <v>74</v>
      </c>
      <c r="BO594" t="s">
        <v>74</v>
      </c>
      <c r="BP594" t="s">
        <v>74</v>
      </c>
      <c r="BQ594" t="s">
        <v>74</v>
      </c>
      <c r="BR594" t="s">
        <v>100</v>
      </c>
      <c r="BS594" t="s">
        <v>9419</v>
      </c>
      <c r="BT594" t="str">
        <f>HYPERLINK("https%3A%2F%2Fwww.webofscience.com%2Fwos%2Fwoscc%2Ffull-record%2FWOS:000243097200009","View Full Record in Web of Science")</f>
        <v>View Full Record in Web of Science</v>
      </c>
    </row>
    <row r="595" spans="1:72" x14ac:dyDescent="0.15">
      <c r="A595" t="s">
        <v>72</v>
      </c>
      <c r="B595" t="s">
        <v>9420</v>
      </c>
      <c r="C595" t="s">
        <v>74</v>
      </c>
      <c r="D595" t="s">
        <v>74</v>
      </c>
      <c r="E595" t="s">
        <v>74</v>
      </c>
      <c r="F595" t="s">
        <v>9421</v>
      </c>
      <c r="G595" t="s">
        <v>74</v>
      </c>
      <c r="H595" t="s">
        <v>74</v>
      </c>
      <c r="I595" t="s">
        <v>9422</v>
      </c>
      <c r="J595" t="s">
        <v>6317</v>
      </c>
      <c r="K595" t="s">
        <v>74</v>
      </c>
      <c r="L595" t="s">
        <v>74</v>
      </c>
      <c r="M595" t="s">
        <v>78</v>
      </c>
      <c r="N595" t="s">
        <v>79</v>
      </c>
      <c r="O595" t="s">
        <v>74</v>
      </c>
      <c r="P595" t="s">
        <v>74</v>
      </c>
      <c r="Q595" t="s">
        <v>74</v>
      </c>
      <c r="R595" t="s">
        <v>74</v>
      </c>
      <c r="S595" t="s">
        <v>74</v>
      </c>
      <c r="T595" t="s">
        <v>74</v>
      </c>
      <c r="U595" t="s">
        <v>9423</v>
      </c>
      <c r="V595" t="s">
        <v>9424</v>
      </c>
      <c r="W595" t="s">
        <v>9425</v>
      </c>
      <c r="X595" t="s">
        <v>9426</v>
      </c>
      <c r="Y595" t="s">
        <v>9427</v>
      </c>
      <c r="Z595" t="s">
        <v>9428</v>
      </c>
      <c r="AA595" t="s">
        <v>74</v>
      </c>
      <c r="AB595" t="s">
        <v>74</v>
      </c>
      <c r="AC595" t="s">
        <v>74</v>
      </c>
      <c r="AD595" t="s">
        <v>74</v>
      </c>
      <c r="AE595" t="s">
        <v>74</v>
      </c>
      <c r="AF595" t="s">
        <v>74</v>
      </c>
      <c r="AG595">
        <v>69</v>
      </c>
      <c r="AH595">
        <v>5</v>
      </c>
      <c r="AI595">
        <v>5</v>
      </c>
      <c r="AJ595">
        <v>0</v>
      </c>
      <c r="AK595">
        <v>5</v>
      </c>
      <c r="AL595" t="s">
        <v>817</v>
      </c>
      <c r="AM595" t="s">
        <v>818</v>
      </c>
      <c r="AN595" t="s">
        <v>819</v>
      </c>
      <c r="AO595" t="s">
        <v>6326</v>
      </c>
      <c r="AP595" t="s">
        <v>74</v>
      </c>
      <c r="AQ595" t="s">
        <v>74</v>
      </c>
      <c r="AR595" t="s">
        <v>6327</v>
      </c>
      <c r="AS595" t="s">
        <v>6328</v>
      </c>
      <c r="AT595" t="s">
        <v>7963</v>
      </c>
      <c r="AU595">
        <v>2006</v>
      </c>
      <c r="AV595">
        <v>25</v>
      </c>
      <c r="AW595" t="s">
        <v>9429</v>
      </c>
      <c r="AX595" t="s">
        <v>74</v>
      </c>
      <c r="AY595" t="s">
        <v>74</v>
      </c>
      <c r="AZ595" t="s">
        <v>74</v>
      </c>
      <c r="BA595" t="s">
        <v>74</v>
      </c>
      <c r="BB595">
        <v>3198</v>
      </c>
      <c r="BC595">
        <v>3206</v>
      </c>
      <c r="BD595" t="s">
        <v>74</v>
      </c>
      <c r="BE595" t="s">
        <v>9430</v>
      </c>
      <c r="BF595" t="str">
        <f>HYPERLINK("http://dx.doi.org/10.1016/j.quascirev.2006.10.003","http://dx.doi.org/10.1016/j.quascirev.2006.10.003")</f>
        <v>http://dx.doi.org/10.1016/j.quascirev.2006.10.003</v>
      </c>
      <c r="BG595" t="s">
        <v>74</v>
      </c>
      <c r="BH595" t="s">
        <v>74</v>
      </c>
      <c r="BI595">
        <v>9</v>
      </c>
      <c r="BJ595" t="s">
        <v>663</v>
      </c>
      <c r="BK595" t="s">
        <v>97</v>
      </c>
      <c r="BL595" t="s">
        <v>664</v>
      </c>
      <c r="BM595" t="s">
        <v>9431</v>
      </c>
      <c r="BN595" t="s">
        <v>74</v>
      </c>
      <c r="BO595" t="s">
        <v>74</v>
      </c>
      <c r="BP595" t="s">
        <v>74</v>
      </c>
      <c r="BQ595" t="s">
        <v>74</v>
      </c>
      <c r="BR595" t="s">
        <v>100</v>
      </c>
      <c r="BS595" t="s">
        <v>9432</v>
      </c>
      <c r="BT595" t="str">
        <f>HYPERLINK("https%3A%2F%2Fwww.webofscience.com%2Fwos%2Fwoscc%2Ffull-record%2FWOS:000244921200008","View Full Record in Web of Science")</f>
        <v>View Full Record in Web of Science</v>
      </c>
    </row>
    <row r="596" spans="1:72" x14ac:dyDescent="0.15">
      <c r="A596" t="s">
        <v>72</v>
      </c>
      <c r="B596" t="s">
        <v>9433</v>
      </c>
      <c r="C596" t="s">
        <v>74</v>
      </c>
      <c r="D596" t="s">
        <v>74</v>
      </c>
      <c r="E596" t="s">
        <v>74</v>
      </c>
      <c r="F596" t="s">
        <v>9434</v>
      </c>
      <c r="G596" t="s">
        <v>74</v>
      </c>
      <c r="H596" t="s">
        <v>74</v>
      </c>
      <c r="I596" t="s">
        <v>9435</v>
      </c>
      <c r="J596" t="s">
        <v>6317</v>
      </c>
      <c r="K596" t="s">
        <v>74</v>
      </c>
      <c r="L596" t="s">
        <v>74</v>
      </c>
      <c r="M596" t="s">
        <v>78</v>
      </c>
      <c r="N596" t="s">
        <v>79</v>
      </c>
      <c r="O596" t="s">
        <v>74</v>
      </c>
      <c r="P596" t="s">
        <v>74</v>
      </c>
      <c r="Q596" t="s">
        <v>74</v>
      </c>
      <c r="R596" t="s">
        <v>74</v>
      </c>
      <c r="S596" t="s">
        <v>74</v>
      </c>
      <c r="T596" t="s">
        <v>74</v>
      </c>
      <c r="U596" t="s">
        <v>9436</v>
      </c>
      <c r="V596" t="s">
        <v>9437</v>
      </c>
      <c r="W596" t="s">
        <v>9438</v>
      </c>
      <c r="X596" t="s">
        <v>9439</v>
      </c>
      <c r="Y596" t="s">
        <v>9440</v>
      </c>
      <c r="Z596" t="s">
        <v>9441</v>
      </c>
      <c r="AA596" t="s">
        <v>9442</v>
      </c>
      <c r="AB596" t="s">
        <v>9443</v>
      </c>
      <c r="AC596" t="s">
        <v>157</v>
      </c>
      <c r="AD596" t="s">
        <v>158</v>
      </c>
      <c r="AE596" t="s">
        <v>74</v>
      </c>
      <c r="AF596" t="s">
        <v>74</v>
      </c>
      <c r="AG596">
        <v>33</v>
      </c>
      <c r="AH596">
        <v>561</v>
      </c>
      <c r="AI596">
        <v>610</v>
      </c>
      <c r="AJ596">
        <v>5</v>
      </c>
      <c r="AK596">
        <v>77</v>
      </c>
      <c r="AL596" t="s">
        <v>817</v>
      </c>
      <c r="AM596" t="s">
        <v>818</v>
      </c>
      <c r="AN596" t="s">
        <v>819</v>
      </c>
      <c r="AO596" t="s">
        <v>6326</v>
      </c>
      <c r="AP596" t="s">
        <v>74</v>
      </c>
      <c r="AQ596" t="s">
        <v>74</v>
      </c>
      <c r="AR596" t="s">
        <v>6327</v>
      </c>
      <c r="AS596" t="s">
        <v>6328</v>
      </c>
      <c r="AT596" t="s">
        <v>7963</v>
      </c>
      <c r="AU596">
        <v>2006</v>
      </c>
      <c r="AV596">
        <v>25</v>
      </c>
      <c r="AW596" t="s">
        <v>9429</v>
      </c>
      <c r="AX596" t="s">
        <v>74</v>
      </c>
      <c r="AY596" t="s">
        <v>74</v>
      </c>
      <c r="AZ596" t="s">
        <v>74</v>
      </c>
      <c r="BA596" t="s">
        <v>74</v>
      </c>
      <c r="BB596">
        <v>3246</v>
      </c>
      <c r="BC596">
        <v>3257</v>
      </c>
      <c r="BD596" t="s">
        <v>74</v>
      </c>
      <c r="BE596" t="s">
        <v>9444</v>
      </c>
      <c r="BF596" t="str">
        <f>HYPERLINK("http://dx.doi.org/10.1016/j.quascirev.2006.08.002","http://dx.doi.org/10.1016/j.quascirev.2006.08.002")</f>
        <v>http://dx.doi.org/10.1016/j.quascirev.2006.08.002</v>
      </c>
      <c r="BG596" t="s">
        <v>74</v>
      </c>
      <c r="BH596" t="s">
        <v>74</v>
      </c>
      <c r="BI596">
        <v>12</v>
      </c>
      <c r="BJ596" t="s">
        <v>663</v>
      </c>
      <c r="BK596" t="s">
        <v>97</v>
      </c>
      <c r="BL596" t="s">
        <v>664</v>
      </c>
      <c r="BM596" t="s">
        <v>9431</v>
      </c>
      <c r="BN596" t="s">
        <v>74</v>
      </c>
      <c r="BO596" t="s">
        <v>1314</v>
      </c>
      <c r="BP596" t="s">
        <v>74</v>
      </c>
      <c r="BQ596" t="s">
        <v>74</v>
      </c>
      <c r="BR596" t="s">
        <v>100</v>
      </c>
      <c r="BS596" t="s">
        <v>9445</v>
      </c>
      <c r="BT596" t="str">
        <f>HYPERLINK("https%3A%2F%2Fwww.webofscience.com%2Fwos%2Fwoscc%2Ffull-record%2FWOS:000244921200012","View Full Record in Web of Science")</f>
        <v>View Full Record in Web of Science</v>
      </c>
    </row>
    <row r="597" spans="1:72" x14ac:dyDescent="0.15">
      <c r="A597" t="s">
        <v>72</v>
      </c>
      <c r="B597" t="s">
        <v>9446</v>
      </c>
      <c r="C597" t="s">
        <v>74</v>
      </c>
      <c r="D597" t="s">
        <v>74</v>
      </c>
      <c r="E597" t="s">
        <v>74</v>
      </c>
      <c r="F597" t="s">
        <v>9447</v>
      </c>
      <c r="G597" t="s">
        <v>74</v>
      </c>
      <c r="H597" t="s">
        <v>74</v>
      </c>
      <c r="I597" t="s">
        <v>9448</v>
      </c>
      <c r="J597" t="s">
        <v>6317</v>
      </c>
      <c r="K597" t="s">
        <v>74</v>
      </c>
      <c r="L597" t="s">
        <v>74</v>
      </c>
      <c r="M597" t="s">
        <v>78</v>
      </c>
      <c r="N597" t="s">
        <v>79</v>
      </c>
      <c r="O597" t="s">
        <v>74</v>
      </c>
      <c r="P597" t="s">
        <v>74</v>
      </c>
      <c r="Q597" t="s">
        <v>74</v>
      </c>
      <c r="R597" t="s">
        <v>74</v>
      </c>
      <c r="S597" t="s">
        <v>74</v>
      </c>
      <c r="T597" t="s">
        <v>74</v>
      </c>
      <c r="U597" t="s">
        <v>9449</v>
      </c>
      <c r="V597" t="s">
        <v>9450</v>
      </c>
      <c r="W597" t="s">
        <v>9451</v>
      </c>
      <c r="X597" t="s">
        <v>9452</v>
      </c>
      <c r="Y597" t="s">
        <v>9453</v>
      </c>
      <c r="Z597" t="s">
        <v>9454</v>
      </c>
      <c r="AA597" t="s">
        <v>9455</v>
      </c>
      <c r="AB597" t="s">
        <v>9456</v>
      </c>
      <c r="AC597" t="s">
        <v>9457</v>
      </c>
      <c r="AD597" t="s">
        <v>158</v>
      </c>
      <c r="AE597" t="s">
        <v>74</v>
      </c>
      <c r="AF597" t="s">
        <v>74</v>
      </c>
      <c r="AG597">
        <v>33</v>
      </c>
      <c r="AH597">
        <v>331</v>
      </c>
      <c r="AI597">
        <v>367</v>
      </c>
      <c r="AJ597">
        <v>1</v>
      </c>
      <c r="AK597">
        <v>42</v>
      </c>
      <c r="AL597" t="s">
        <v>817</v>
      </c>
      <c r="AM597" t="s">
        <v>818</v>
      </c>
      <c r="AN597" t="s">
        <v>819</v>
      </c>
      <c r="AO597" t="s">
        <v>6326</v>
      </c>
      <c r="AP597" t="s">
        <v>74</v>
      </c>
      <c r="AQ597" t="s">
        <v>74</v>
      </c>
      <c r="AR597" t="s">
        <v>6327</v>
      </c>
      <c r="AS597" t="s">
        <v>6328</v>
      </c>
      <c r="AT597" t="s">
        <v>7963</v>
      </c>
      <c r="AU597">
        <v>2006</v>
      </c>
      <c r="AV597">
        <v>25</v>
      </c>
      <c r="AW597" t="s">
        <v>9429</v>
      </c>
      <c r="AX597" t="s">
        <v>74</v>
      </c>
      <c r="AY597" t="s">
        <v>74</v>
      </c>
      <c r="AZ597" t="s">
        <v>74</v>
      </c>
      <c r="BA597" t="s">
        <v>74</v>
      </c>
      <c r="BB597">
        <v>3258</v>
      </c>
      <c r="BC597">
        <v>3267</v>
      </c>
      <c r="BD597" t="s">
        <v>74</v>
      </c>
      <c r="BE597" t="s">
        <v>9458</v>
      </c>
      <c r="BF597" t="str">
        <f>HYPERLINK("http://dx.doi.org/10.1016/j.quascirev.2006.08.003","http://dx.doi.org/10.1016/j.quascirev.2006.08.003")</f>
        <v>http://dx.doi.org/10.1016/j.quascirev.2006.08.003</v>
      </c>
      <c r="BG597" t="s">
        <v>74</v>
      </c>
      <c r="BH597" t="s">
        <v>74</v>
      </c>
      <c r="BI597">
        <v>10</v>
      </c>
      <c r="BJ597" t="s">
        <v>663</v>
      </c>
      <c r="BK597" t="s">
        <v>97</v>
      </c>
      <c r="BL597" t="s">
        <v>664</v>
      </c>
      <c r="BM597" t="s">
        <v>9431</v>
      </c>
      <c r="BN597" t="s">
        <v>74</v>
      </c>
      <c r="BO597" t="s">
        <v>74</v>
      </c>
      <c r="BP597" t="s">
        <v>74</v>
      </c>
      <c r="BQ597" t="s">
        <v>74</v>
      </c>
      <c r="BR597" t="s">
        <v>100</v>
      </c>
      <c r="BS597" t="s">
        <v>9459</v>
      </c>
      <c r="BT597" t="str">
        <f>HYPERLINK("https%3A%2F%2Fwww.webofscience.com%2Fwos%2Fwoscc%2Ffull-record%2FWOS:000244921200013","View Full Record in Web of Science")</f>
        <v>View Full Record in Web of Science</v>
      </c>
    </row>
    <row r="598" spans="1:72" x14ac:dyDescent="0.15">
      <c r="A598" t="s">
        <v>72</v>
      </c>
      <c r="B598" t="s">
        <v>9460</v>
      </c>
      <c r="C598" t="s">
        <v>74</v>
      </c>
      <c r="D598" t="s">
        <v>74</v>
      </c>
      <c r="E598" t="s">
        <v>74</v>
      </c>
      <c r="F598" t="s">
        <v>9461</v>
      </c>
      <c r="G598" t="s">
        <v>74</v>
      </c>
      <c r="H598" t="s">
        <v>74</v>
      </c>
      <c r="I598" t="s">
        <v>9462</v>
      </c>
      <c r="J598" t="s">
        <v>6317</v>
      </c>
      <c r="K598" t="s">
        <v>74</v>
      </c>
      <c r="L598" t="s">
        <v>74</v>
      </c>
      <c r="M598" t="s">
        <v>78</v>
      </c>
      <c r="N598" t="s">
        <v>79</v>
      </c>
      <c r="O598" t="s">
        <v>74</v>
      </c>
      <c r="P598" t="s">
        <v>74</v>
      </c>
      <c r="Q598" t="s">
        <v>74</v>
      </c>
      <c r="R598" t="s">
        <v>74</v>
      </c>
      <c r="S598" t="s">
        <v>74</v>
      </c>
      <c r="T598" t="s">
        <v>74</v>
      </c>
      <c r="U598" t="s">
        <v>9463</v>
      </c>
      <c r="V598" t="s">
        <v>9464</v>
      </c>
      <c r="W598" t="s">
        <v>9465</v>
      </c>
      <c r="X598" t="s">
        <v>9466</v>
      </c>
      <c r="Y598" t="s">
        <v>9467</v>
      </c>
      <c r="Z598" t="s">
        <v>9468</v>
      </c>
      <c r="AA598" t="s">
        <v>9469</v>
      </c>
      <c r="AB598" t="s">
        <v>9470</v>
      </c>
      <c r="AC598" t="s">
        <v>74</v>
      </c>
      <c r="AD598" t="s">
        <v>74</v>
      </c>
      <c r="AE598" t="s">
        <v>74</v>
      </c>
      <c r="AF598" t="s">
        <v>74</v>
      </c>
      <c r="AG598">
        <v>94</v>
      </c>
      <c r="AH598">
        <v>76</v>
      </c>
      <c r="AI598">
        <v>88</v>
      </c>
      <c r="AJ598">
        <v>1</v>
      </c>
      <c r="AK598">
        <v>23</v>
      </c>
      <c r="AL598" t="s">
        <v>817</v>
      </c>
      <c r="AM598" t="s">
        <v>818</v>
      </c>
      <c r="AN598" t="s">
        <v>819</v>
      </c>
      <c r="AO598" t="s">
        <v>6326</v>
      </c>
      <c r="AP598" t="s">
        <v>74</v>
      </c>
      <c r="AQ598" t="s">
        <v>74</v>
      </c>
      <c r="AR598" t="s">
        <v>6327</v>
      </c>
      <c r="AS598" t="s">
        <v>6328</v>
      </c>
      <c r="AT598" t="s">
        <v>7963</v>
      </c>
      <c r="AU598">
        <v>2006</v>
      </c>
      <c r="AV598">
        <v>25</v>
      </c>
      <c r="AW598" t="s">
        <v>9429</v>
      </c>
      <c r="AX598" t="s">
        <v>74</v>
      </c>
      <c r="AY598" t="s">
        <v>74</v>
      </c>
      <c r="AZ598" t="s">
        <v>74</v>
      </c>
      <c r="BA598" t="s">
        <v>74</v>
      </c>
      <c r="BB598">
        <v>3278</v>
      </c>
      <c r="BC598">
        <v>3293</v>
      </c>
      <c r="BD598" t="s">
        <v>74</v>
      </c>
      <c r="BE598" t="s">
        <v>9471</v>
      </c>
      <c r="BF598" t="str">
        <f>HYPERLINK("http://dx.doi.org/10.1016/j.quascirev.2006.07.018","http://dx.doi.org/10.1016/j.quascirev.2006.07.018")</f>
        <v>http://dx.doi.org/10.1016/j.quascirev.2006.07.018</v>
      </c>
      <c r="BG598" t="s">
        <v>74</v>
      </c>
      <c r="BH598" t="s">
        <v>74</v>
      </c>
      <c r="BI598">
        <v>16</v>
      </c>
      <c r="BJ598" t="s">
        <v>663</v>
      </c>
      <c r="BK598" t="s">
        <v>97</v>
      </c>
      <c r="BL598" t="s">
        <v>664</v>
      </c>
      <c r="BM598" t="s">
        <v>9431</v>
      </c>
      <c r="BN598" t="s">
        <v>74</v>
      </c>
      <c r="BO598" t="s">
        <v>74</v>
      </c>
      <c r="BP598" t="s">
        <v>74</v>
      </c>
      <c r="BQ598" t="s">
        <v>74</v>
      </c>
      <c r="BR598" t="s">
        <v>100</v>
      </c>
      <c r="BS598" t="s">
        <v>9472</v>
      </c>
      <c r="BT598" t="str">
        <f>HYPERLINK("https%3A%2F%2Fwww.webofscience.com%2Fwos%2Fwoscc%2Ffull-record%2FWOS:000244921200015","View Full Record in Web of Science")</f>
        <v>View Full Record in Web of Science</v>
      </c>
    </row>
    <row r="599" spans="1:72" x14ac:dyDescent="0.15">
      <c r="A599" t="s">
        <v>72</v>
      </c>
      <c r="B599" t="s">
        <v>9473</v>
      </c>
      <c r="C599" t="s">
        <v>74</v>
      </c>
      <c r="D599" t="s">
        <v>74</v>
      </c>
      <c r="E599" t="s">
        <v>74</v>
      </c>
      <c r="F599" t="s">
        <v>9474</v>
      </c>
      <c r="G599" t="s">
        <v>74</v>
      </c>
      <c r="H599" t="s">
        <v>74</v>
      </c>
      <c r="I599" t="s">
        <v>9475</v>
      </c>
      <c r="J599" t="s">
        <v>6317</v>
      </c>
      <c r="K599" t="s">
        <v>74</v>
      </c>
      <c r="L599" t="s">
        <v>74</v>
      </c>
      <c r="M599" t="s">
        <v>78</v>
      </c>
      <c r="N599" t="s">
        <v>79</v>
      </c>
      <c r="O599" t="s">
        <v>74</v>
      </c>
      <c r="P599" t="s">
        <v>74</v>
      </c>
      <c r="Q599" t="s">
        <v>74</v>
      </c>
      <c r="R599" t="s">
        <v>74</v>
      </c>
      <c r="S599" t="s">
        <v>74</v>
      </c>
      <c r="T599" t="s">
        <v>74</v>
      </c>
      <c r="U599" t="s">
        <v>9476</v>
      </c>
      <c r="V599" t="s">
        <v>9477</v>
      </c>
      <c r="W599" t="s">
        <v>9478</v>
      </c>
      <c r="X599" t="s">
        <v>917</v>
      </c>
      <c r="Y599" t="s">
        <v>9479</v>
      </c>
      <c r="Z599" t="s">
        <v>9480</v>
      </c>
      <c r="AA599" t="s">
        <v>74</v>
      </c>
      <c r="AB599" t="s">
        <v>74</v>
      </c>
      <c r="AC599" t="s">
        <v>74</v>
      </c>
      <c r="AD599" t="s">
        <v>74</v>
      </c>
      <c r="AE599" t="s">
        <v>74</v>
      </c>
      <c r="AF599" t="s">
        <v>74</v>
      </c>
      <c r="AG599">
        <v>42</v>
      </c>
      <c r="AH599">
        <v>78</v>
      </c>
      <c r="AI599">
        <v>86</v>
      </c>
      <c r="AJ599">
        <v>0</v>
      </c>
      <c r="AK599">
        <v>21</v>
      </c>
      <c r="AL599" t="s">
        <v>817</v>
      </c>
      <c r="AM599" t="s">
        <v>818</v>
      </c>
      <c r="AN599" t="s">
        <v>819</v>
      </c>
      <c r="AO599" t="s">
        <v>6326</v>
      </c>
      <c r="AP599" t="s">
        <v>74</v>
      </c>
      <c r="AQ599" t="s">
        <v>74</v>
      </c>
      <c r="AR599" t="s">
        <v>6327</v>
      </c>
      <c r="AS599" t="s">
        <v>6328</v>
      </c>
      <c r="AT599" t="s">
        <v>7963</v>
      </c>
      <c r="AU599">
        <v>2006</v>
      </c>
      <c r="AV599">
        <v>25</v>
      </c>
      <c r="AW599" t="s">
        <v>9429</v>
      </c>
      <c r="AX599" t="s">
        <v>74</v>
      </c>
      <c r="AY599" t="s">
        <v>74</v>
      </c>
      <c r="AZ599" t="s">
        <v>74</v>
      </c>
      <c r="BA599" t="s">
        <v>74</v>
      </c>
      <c r="BB599">
        <v>3312</v>
      </c>
      <c r="BC599">
        <v>3321</v>
      </c>
      <c r="BD599" t="s">
        <v>74</v>
      </c>
      <c r="BE599" t="s">
        <v>9481</v>
      </c>
      <c r="BF599" t="str">
        <f>HYPERLINK("http://dx.doi.org/10.1016/j.quascirev.2006.07.005","http://dx.doi.org/10.1016/j.quascirev.2006.07.005")</f>
        <v>http://dx.doi.org/10.1016/j.quascirev.2006.07.005</v>
      </c>
      <c r="BG599" t="s">
        <v>74</v>
      </c>
      <c r="BH599" t="s">
        <v>74</v>
      </c>
      <c r="BI599">
        <v>10</v>
      </c>
      <c r="BJ599" t="s">
        <v>663</v>
      </c>
      <c r="BK599" t="s">
        <v>97</v>
      </c>
      <c r="BL599" t="s">
        <v>664</v>
      </c>
      <c r="BM599" t="s">
        <v>9431</v>
      </c>
      <c r="BN599" t="s">
        <v>74</v>
      </c>
      <c r="BO599" t="s">
        <v>74</v>
      </c>
      <c r="BP599" t="s">
        <v>74</v>
      </c>
      <c r="BQ599" t="s">
        <v>74</v>
      </c>
      <c r="BR599" t="s">
        <v>100</v>
      </c>
      <c r="BS599" t="s">
        <v>9482</v>
      </c>
      <c r="BT599" t="str">
        <f>HYPERLINK("https%3A%2F%2Fwww.webofscience.com%2Fwos%2Fwoscc%2Ffull-record%2FWOS:000244921200017","View Full Record in Web of Science")</f>
        <v>View Full Record in Web of Science</v>
      </c>
    </row>
    <row r="600" spans="1:72" x14ac:dyDescent="0.15">
      <c r="A600" t="s">
        <v>72</v>
      </c>
      <c r="B600" t="s">
        <v>9483</v>
      </c>
      <c r="C600" t="s">
        <v>74</v>
      </c>
      <c r="D600" t="s">
        <v>74</v>
      </c>
      <c r="E600" t="s">
        <v>74</v>
      </c>
      <c r="F600" t="s">
        <v>9484</v>
      </c>
      <c r="G600" t="s">
        <v>74</v>
      </c>
      <c r="H600" t="s">
        <v>74</v>
      </c>
      <c r="I600" t="s">
        <v>9485</v>
      </c>
      <c r="J600" t="s">
        <v>6317</v>
      </c>
      <c r="K600" t="s">
        <v>74</v>
      </c>
      <c r="L600" t="s">
        <v>74</v>
      </c>
      <c r="M600" t="s">
        <v>78</v>
      </c>
      <c r="N600" t="s">
        <v>79</v>
      </c>
      <c r="O600" t="s">
        <v>74</v>
      </c>
      <c r="P600" t="s">
        <v>74</v>
      </c>
      <c r="Q600" t="s">
        <v>74</v>
      </c>
      <c r="R600" t="s">
        <v>74</v>
      </c>
      <c r="S600" t="s">
        <v>74</v>
      </c>
      <c r="T600" t="s">
        <v>74</v>
      </c>
      <c r="U600" t="s">
        <v>9486</v>
      </c>
      <c r="V600" t="s">
        <v>9487</v>
      </c>
      <c r="W600" t="s">
        <v>9488</v>
      </c>
      <c r="X600" t="s">
        <v>9489</v>
      </c>
      <c r="Y600" t="s">
        <v>9490</v>
      </c>
      <c r="Z600" t="s">
        <v>9491</v>
      </c>
      <c r="AA600" t="s">
        <v>74</v>
      </c>
      <c r="AB600" t="s">
        <v>9492</v>
      </c>
      <c r="AC600" t="s">
        <v>74</v>
      </c>
      <c r="AD600" t="s">
        <v>74</v>
      </c>
      <c r="AE600" t="s">
        <v>74</v>
      </c>
      <c r="AF600" t="s">
        <v>74</v>
      </c>
      <c r="AG600">
        <v>47</v>
      </c>
      <c r="AH600">
        <v>41</v>
      </c>
      <c r="AI600">
        <v>46</v>
      </c>
      <c r="AJ600">
        <v>1</v>
      </c>
      <c r="AK600">
        <v>26</v>
      </c>
      <c r="AL600" t="s">
        <v>817</v>
      </c>
      <c r="AM600" t="s">
        <v>818</v>
      </c>
      <c r="AN600" t="s">
        <v>819</v>
      </c>
      <c r="AO600" t="s">
        <v>6326</v>
      </c>
      <c r="AP600" t="s">
        <v>74</v>
      </c>
      <c r="AQ600" t="s">
        <v>74</v>
      </c>
      <c r="AR600" t="s">
        <v>6327</v>
      </c>
      <c r="AS600" t="s">
        <v>6328</v>
      </c>
      <c r="AT600" t="s">
        <v>7963</v>
      </c>
      <c r="AU600">
        <v>2006</v>
      </c>
      <c r="AV600">
        <v>25</v>
      </c>
      <c r="AW600" t="s">
        <v>9429</v>
      </c>
      <c r="AX600" t="s">
        <v>74</v>
      </c>
      <c r="AY600" t="s">
        <v>74</v>
      </c>
      <c r="AZ600" t="s">
        <v>74</v>
      </c>
      <c r="BA600" t="s">
        <v>74</v>
      </c>
      <c r="BB600">
        <v>3404</v>
      </c>
      <c r="BC600">
        <v>3415</v>
      </c>
      <c r="BD600" t="s">
        <v>74</v>
      </c>
      <c r="BE600" t="s">
        <v>9493</v>
      </c>
      <c r="BF600" t="str">
        <f>HYPERLINK("http://dx.doi.org/10.1016/j.quascirev.2006.03.011","http://dx.doi.org/10.1016/j.quascirev.2006.03.011")</f>
        <v>http://dx.doi.org/10.1016/j.quascirev.2006.03.011</v>
      </c>
      <c r="BG600" t="s">
        <v>74</v>
      </c>
      <c r="BH600" t="s">
        <v>74</v>
      </c>
      <c r="BI600">
        <v>12</v>
      </c>
      <c r="BJ600" t="s">
        <v>663</v>
      </c>
      <c r="BK600" t="s">
        <v>97</v>
      </c>
      <c r="BL600" t="s">
        <v>664</v>
      </c>
      <c r="BM600" t="s">
        <v>9431</v>
      </c>
      <c r="BN600" t="s">
        <v>74</v>
      </c>
      <c r="BO600" t="s">
        <v>74</v>
      </c>
      <c r="BP600" t="s">
        <v>74</v>
      </c>
      <c r="BQ600" t="s">
        <v>74</v>
      </c>
      <c r="BR600" t="s">
        <v>100</v>
      </c>
      <c r="BS600" t="s">
        <v>9494</v>
      </c>
      <c r="BT600" t="str">
        <f>HYPERLINK("https%3A%2F%2Fwww.webofscience.com%2Fwos%2Fwoscc%2Ffull-record%2FWOS:000244921200023","View Full Record in Web of Science")</f>
        <v>View Full Record in Web of Science</v>
      </c>
    </row>
    <row r="601" spans="1:72" x14ac:dyDescent="0.15">
      <c r="A601" t="s">
        <v>72</v>
      </c>
      <c r="B601" t="s">
        <v>9495</v>
      </c>
      <c r="C601" t="s">
        <v>74</v>
      </c>
      <c r="D601" t="s">
        <v>74</v>
      </c>
      <c r="E601" t="s">
        <v>74</v>
      </c>
      <c r="F601" t="s">
        <v>9496</v>
      </c>
      <c r="G601" t="s">
        <v>74</v>
      </c>
      <c r="H601" t="s">
        <v>74</v>
      </c>
      <c r="I601" t="s">
        <v>9497</v>
      </c>
      <c r="J601" t="s">
        <v>6652</v>
      </c>
      <c r="K601" t="s">
        <v>74</v>
      </c>
      <c r="L601" t="s">
        <v>74</v>
      </c>
      <c r="M601" t="s">
        <v>78</v>
      </c>
      <c r="N601" t="s">
        <v>79</v>
      </c>
      <c r="O601" t="s">
        <v>74</v>
      </c>
      <c r="P601" t="s">
        <v>74</v>
      </c>
      <c r="Q601" t="s">
        <v>74</v>
      </c>
      <c r="R601" t="s">
        <v>74</v>
      </c>
      <c r="S601" t="s">
        <v>74</v>
      </c>
      <c r="T601" t="s">
        <v>9498</v>
      </c>
      <c r="U601" t="s">
        <v>9499</v>
      </c>
      <c r="V601" t="s">
        <v>9500</v>
      </c>
      <c r="W601" t="s">
        <v>9501</v>
      </c>
      <c r="X601" t="s">
        <v>9502</v>
      </c>
      <c r="Y601" t="s">
        <v>9503</v>
      </c>
      <c r="Z601" t="s">
        <v>9504</v>
      </c>
      <c r="AA601" t="s">
        <v>9505</v>
      </c>
      <c r="AB601" t="s">
        <v>74</v>
      </c>
      <c r="AC601" t="s">
        <v>74</v>
      </c>
      <c r="AD601" t="s">
        <v>74</v>
      </c>
      <c r="AE601" t="s">
        <v>74</v>
      </c>
      <c r="AF601" t="s">
        <v>74</v>
      </c>
      <c r="AG601">
        <v>24</v>
      </c>
      <c r="AH601">
        <v>30</v>
      </c>
      <c r="AI601">
        <v>41</v>
      </c>
      <c r="AJ601">
        <v>2</v>
      </c>
      <c r="AK601">
        <v>47</v>
      </c>
      <c r="AL601" t="s">
        <v>902</v>
      </c>
      <c r="AM601" t="s">
        <v>903</v>
      </c>
      <c r="AN601" t="s">
        <v>5098</v>
      </c>
      <c r="AO601" t="s">
        <v>6660</v>
      </c>
      <c r="AP601" t="s">
        <v>6661</v>
      </c>
      <c r="AQ601" t="s">
        <v>74</v>
      </c>
      <c r="AR601" t="s">
        <v>6662</v>
      </c>
      <c r="AS601" t="s">
        <v>6663</v>
      </c>
      <c r="AT601" t="s">
        <v>8268</v>
      </c>
      <c r="AU601">
        <v>2006</v>
      </c>
      <c r="AV601">
        <v>371</v>
      </c>
      <c r="AW601" t="s">
        <v>2559</v>
      </c>
      <c r="AX601" t="s">
        <v>74</v>
      </c>
      <c r="AY601" t="s">
        <v>74</v>
      </c>
      <c r="AZ601" t="s">
        <v>74</v>
      </c>
      <c r="BA601" t="s">
        <v>74</v>
      </c>
      <c r="BB601">
        <v>252</v>
      </c>
      <c r="BC601">
        <v>257</v>
      </c>
      <c r="BD601" t="s">
        <v>74</v>
      </c>
      <c r="BE601" t="s">
        <v>9506</v>
      </c>
      <c r="BF601" t="str">
        <f>HYPERLINK("http://dx.doi.org/10.1016/j.scitotenv.2006.07.022","http://dx.doi.org/10.1016/j.scitotenv.2006.07.022")</f>
        <v>http://dx.doi.org/10.1016/j.scitotenv.2006.07.022</v>
      </c>
      <c r="BG601" t="s">
        <v>74</v>
      </c>
      <c r="BH601" t="s">
        <v>74</v>
      </c>
      <c r="BI601">
        <v>6</v>
      </c>
      <c r="BJ601" t="s">
        <v>237</v>
      </c>
      <c r="BK601" t="s">
        <v>97</v>
      </c>
      <c r="BL601" t="s">
        <v>226</v>
      </c>
      <c r="BM601" t="s">
        <v>9507</v>
      </c>
      <c r="BN601">
        <v>16928392</v>
      </c>
      <c r="BO601" t="s">
        <v>2155</v>
      </c>
      <c r="BP601" t="s">
        <v>74</v>
      </c>
      <c r="BQ601" t="s">
        <v>74</v>
      </c>
      <c r="BR601" t="s">
        <v>100</v>
      </c>
      <c r="BS601" t="s">
        <v>9508</v>
      </c>
      <c r="BT601" t="str">
        <f>HYPERLINK("https%3A%2F%2Fwww.webofscience.com%2Fwos%2Fwoscc%2Ffull-record%2FWOS:000242431100025","View Full Record in Web of Science")</f>
        <v>View Full Record in Web of Science</v>
      </c>
    </row>
    <row r="602" spans="1:72" x14ac:dyDescent="0.15">
      <c r="A602" t="s">
        <v>72</v>
      </c>
      <c r="B602" t="s">
        <v>9509</v>
      </c>
      <c r="C602" t="s">
        <v>74</v>
      </c>
      <c r="D602" t="s">
        <v>74</v>
      </c>
      <c r="E602" t="s">
        <v>74</v>
      </c>
      <c r="F602" t="s">
        <v>9510</v>
      </c>
      <c r="G602" t="s">
        <v>74</v>
      </c>
      <c r="H602" t="s">
        <v>74</v>
      </c>
      <c r="I602" t="s">
        <v>9511</v>
      </c>
      <c r="J602" t="s">
        <v>9512</v>
      </c>
      <c r="K602" t="s">
        <v>74</v>
      </c>
      <c r="L602" t="s">
        <v>74</v>
      </c>
      <c r="M602" t="s">
        <v>78</v>
      </c>
      <c r="N602" t="s">
        <v>176</v>
      </c>
      <c r="O602" t="s">
        <v>9513</v>
      </c>
      <c r="P602" t="s">
        <v>9514</v>
      </c>
      <c r="Q602" t="s">
        <v>9515</v>
      </c>
      <c r="R602" t="s">
        <v>74</v>
      </c>
      <c r="S602" t="s">
        <v>9516</v>
      </c>
      <c r="T602" t="s">
        <v>9517</v>
      </c>
      <c r="U602" t="s">
        <v>74</v>
      </c>
      <c r="V602" t="s">
        <v>9518</v>
      </c>
      <c r="W602" t="s">
        <v>9519</v>
      </c>
      <c r="X602" t="s">
        <v>74</v>
      </c>
      <c r="Y602" t="s">
        <v>9520</v>
      </c>
      <c r="Z602" t="s">
        <v>9521</v>
      </c>
      <c r="AA602" t="s">
        <v>74</v>
      </c>
      <c r="AB602" t="s">
        <v>74</v>
      </c>
      <c r="AC602" t="s">
        <v>74</v>
      </c>
      <c r="AD602" t="s">
        <v>74</v>
      </c>
      <c r="AE602" t="s">
        <v>74</v>
      </c>
      <c r="AF602" t="s">
        <v>74</v>
      </c>
      <c r="AG602">
        <v>43</v>
      </c>
      <c r="AH602">
        <v>15</v>
      </c>
      <c r="AI602">
        <v>19</v>
      </c>
      <c r="AJ602">
        <v>0</v>
      </c>
      <c r="AK602">
        <v>5</v>
      </c>
      <c r="AL602" t="s">
        <v>9522</v>
      </c>
      <c r="AM602" t="s">
        <v>2657</v>
      </c>
      <c r="AN602" t="s">
        <v>9523</v>
      </c>
      <c r="AO602" t="s">
        <v>9524</v>
      </c>
      <c r="AP602" t="s">
        <v>9525</v>
      </c>
      <c r="AQ602" t="s">
        <v>74</v>
      </c>
      <c r="AR602" t="s">
        <v>9526</v>
      </c>
      <c r="AS602" t="s">
        <v>9527</v>
      </c>
      <c r="AT602" t="s">
        <v>7963</v>
      </c>
      <c r="AU602">
        <v>2006</v>
      </c>
      <c r="AV602">
        <v>70</v>
      </c>
      <c r="AW602" t="s">
        <v>74</v>
      </c>
      <c r="AX602" t="s">
        <v>74</v>
      </c>
      <c r="AY602">
        <v>3</v>
      </c>
      <c r="AZ602" t="s">
        <v>74</v>
      </c>
      <c r="BA602" t="s">
        <v>74</v>
      </c>
      <c r="BB602">
        <v>101</v>
      </c>
      <c r="BC602">
        <v>113</v>
      </c>
      <c r="BD602" t="s">
        <v>74</v>
      </c>
      <c r="BE602" t="s">
        <v>9528</v>
      </c>
      <c r="BF602" t="str">
        <f>HYPERLINK("http://dx.doi.org/10.3989/scimar.2006.70s3101","http://dx.doi.org/10.3989/scimar.2006.70s3101")</f>
        <v>http://dx.doi.org/10.3989/scimar.2006.70s3101</v>
      </c>
      <c r="BG602" t="s">
        <v>74</v>
      </c>
      <c r="BH602" t="s">
        <v>74</v>
      </c>
      <c r="BI602">
        <v>13</v>
      </c>
      <c r="BJ602" t="s">
        <v>122</v>
      </c>
      <c r="BK602" t="s">
        <v>197</v>
      </c>
      <c r="BL602" t="s">
        <v>122</v>
      </c>
      <c r="BM602" t="s">
        <v>9529</v>
      </c>
      <c r="BN602" t="s">
        <v>74</v>
      </c>
      <c r="BO602" t="s">
        <v>337</v>
      </c>
      <c r="BP602" t="s">
        <v>74</v>
      </c>
      <c r="BQ602" t="s">
        <v>74</v>
      </c>
      <c r="BR602" t="s">
        <v>100</v>
      </c>
      <c r="BS602" t="s">
        <v>9530</v>
      </c>
      <c r="BT602" t="str">
        <f>HYPERLINK("https%3A%2F%2Fwww.webofscience.com%2Fwos%2Fwoscc%2Ffull-record%2FWOS:000245042300012","View Full Record in Web of Science")</f>
        <v>View Full Record in Web of Science</v>
      </c>
    </row>
    <row r="603" spans="1:72" x14ac:dyDescent="0.15">
      <c r="A603" t="s">
        <v>72</v>
      </c>
      <c r="B603" t="s">
        <v>9531</v>
      </c>
      <c r="C603" t="s">
        <v>74</v>
      </c>
      <c r="D603" t="s">
        <v>74</v>
      </c>
      <c r="E603" t="s">
        <v>74</v>
      </c>
      <c r="F603" t="s">
        <v>9532</v>
      </c>
      <c r="G603" t="s">
        <v>74</v>
      </c>
      <c r="H603" t="s">
        <v>74</v>
      </c>
      <c r="I603" t="s">
        <v>9533</v>
      </c>
      <c r="J603" t="s">
        <v>9512</v>
      </c>
      <c r="K603" t="s">
        <v>74</v>
      </c>
      <c r="L603" t="s">
        <v>74</v>
      </c>
      <c r="M603" t="s">
        <v>78</v>
      </c>
      <c r="N603" t="s">
        <v>176</v>
      </c>
      <c r="O603" t="s">
        <v>9513</v>
      </c>
      <c r="P603" t="s">
        <v>9514</v>
      </c>
      <c r="Q603" t="s">
        <v>9515</v>
      </c>
      <c r="R603" t="s">
        <v>74</v>
      </c>
      <c r="S603" t="s">
        <v>9516</v>
      </c>
      <c r="T603" t="s">
        <v>9534</v>
      </c>
      <c r="U603" t="s">
        <v>9535</v>
      </c>
      <c r="V603" t="s">
        <v>9536</v>
      </c>
      <c r="W603" t="s">
        <v>9537</v>
      </c>
      <c r="X603" t="s">
        <v>9538</v>
      </c>
      <c r="Y603" t="s">
        <v>9539</v>
      </c>
      <c r="Z603" t="s">
        <v>9540</v>
      </c>
      <c r="AA603" t="s">
        <v>9541</v>
      </c>
      <c r="AB603" t="s">
        <v>9542</v>
      </c>
      <c r="AC603" t="s">
        <v>74</v>
      </c>
      <c r="AD603" t="s">
        <v>74</v>
      </c>
      <c r="AE603" t="s">
        <v>74</v>
      </c>
      <c r="AF603" t="s">
        <v>74</v>
      </c>
      <c r="AG603">
        <v>78</v>
      </c>
      <c r="AH603">
        <v>12</v>
      </c>
      <c r="AI603">
        <v>12</v>
      </c>
      <c r="AJ603">
        <v>0</v>
      </c>
      <c r="AK603">
        <v>2</v>
      </c>
      <c r="AL603" t="s">
        <v>9543</v>
      </c>
      <c r="AM603" t="s">
        <v>636</v>
      </c>
      <c r="AN603" t="s">
        <v>9544</v>
      </c>
      <c r="AO603" t="s">
        <v>9524</v>
      </c>
      <c r="AP603" t="s">
        <v>9525</v>
      </c>
      <c r="AQ603" t="s">
        <v>74</v>
      </c>
      <c r="AR603" t="s">
        <v>9526</v>
      </c>
      <c r="AS603" t="s">
        <v>9527</v>
      </c>
      <c r="AT603" t="s">
        <v>7963</v>
      </c>
      <c r="AU603">
        <v>2006</v>
      </c>
      <c r="AV603">
        <v>70</v>
      </c>
      <c r="AW603" t="s">
        <v>74</v>
      </c>
      <c r="AX603" t="s">
        <v>74</v>
      </c>
      <c r="AY603">
        <v>3</v>
      </c>
      <c r="AZ603" t="s">
        <v>74</v>
      </c>
      <c r="BA603" t="s">
        <v>74</v>
      </c>
      <c r="BB603">
        <v>269</v>
      </c>
      <c r="BC603">
        <v>276</v>
      </c>
      <c r="BD603" t="s">
        <v>74</v>
      </c>
      <c r="BE603" t="s">
        <v>74</v>
      </c>
      <c r="BF603" t="s">
        <v>74</v>
      </c>
      <c r="BG603" t="s">
        <v>74</v>
      </c>
      <c r="BH603" t="s">
        <v>74</v>
      </c>
      <c r="BI603">
        <v>8</v>
      </c>
      <c r="BJ603" t="s">
        <v>122</v>
      </c>
      <c r="BK603" t="s">
        <v>197</v>
      </c>
      <c r="BL603" t="s">
        <v>122</v>
      </c>
      <c r="BM603" t="s">
        <v>9529</v>
      </c>
      <c r="BN603" t="s">
        <v>74</v>
      </c>
      <c r="BO603" t="s">
        <v>74</v>
      </c>
      <c r="BP603" t="s">
        <v>74</v>
      </c>
      <c r="BQ603" t="s">
        <v>74</v>
      </c>
      <c r="BR603" t="s">
        <v>100</v>
      </c>
      <c r="BS603" t="s">
        <v>9545</v>
      </c>
      <c r="BT603" t="str">
        <f>HYPERLINK("https%3A%2F%2Fwww.webofscience.com%2Fwos%2Fwoscc%2Ffull-record%2FWOS:000245042300029","View Full Record in Web of Science")</f>
        <v>View Full Record in Web of Science</v>
      </c>
    </row>
    <row r="604" spans="1:72" x14ac:dyDescent="0.15">
      <c r="A604" t="s">
        <v>72</v>
      </c>
      <c r="B604" t="s">
        <v>9546</v>
      </c>
      <c r="C604" t="s">
        <v>74</v>
      </c>
      <c r="D604" t="s">
        <v>74</v>
      </c>
      <c r="E604" t="s">
        <v>74</v>
      </c>
      <c r="F604" t="s">
        <v>9547</v>
      </c>
      <c r="G604" t="s">
        <v>74</v>
      </c>
      <c r="H604" t="s">
        <v>74</v>
      </c>
      <c r="I604" t="s">
        <v>9548</v>
      </c>
      <c r="J604" t="s">
        <v>7143</v>
      </c>
      <c r="K604" t="s">
        <v>74</v>
      </c>
      <c r="L604" t="s">
        <v>74</v>
      </c>
      <c r="M604" t="s">
        <v>7144</v>
      </c>
      <c r="N604" t="s">
        <v>79</v>
      </c>
      <c r="O604" t="s">
        <v>74</v>
      </c>
      <c r="P604" t="s">
        <v>74</v>
      </c>
      <c r="Q604" t="s">
        <v>74</v>
      </c>
      <c r="R604" t="s">
        <v>74</v>
      </c>
      <c r="S604" t="s">
        <v>74</v>
      </c>
      <c r="T604" t="s">
        <v>74</v>
      </c>
      <c r="U604" t="s">
        <v>74</v>
      </c>
      <c r="V604" t="s">
        <v>9549</v>
      </c>
      <c r="W604" t="s">
        <v>6636</v>
      </c>
      <c r="X604" t="s">
        <v>6637</v>
      </c>
      <c r="Y604" t="s">
        <v>9550</v>
      </c>
      <c r="Z604" t="s">
        <v>74</v>
      </c>
      <c r="AA604" t="s">
        <v>74</v>
      </c>
      <c r="AB604" t="s">
        <v>74</v>
      </c>
      <c r="AC604" t="s">
        <v>74</v>
      </c>
      <c r="AD604" t="s">
        <v>74</v>
      </c>
      <c r="AE604" t="s">
        <v>74</v>
      </c>
      <c r="AF604" t="s">
        <v>74</v>
      </c>
      <c r="AG604">
        <v>33</v>
      </c>
      <c r="AH604">
        <v>3</v>
      </c>
      <c r="AI604">
        <v>3</v>
      </c>
      <c r="AJ604">
        <v>0</v>
      </c>
      <c r="AK604">
        <v>1</v>
      </c>
      <c r="AL604" t="s">
        <v>9551</v>
      </c>
      <c r="AM604" t="s">
        <v>7150</v>
      </c>
      <c r="AN604" t="s">
        <v>9552</v>
      </c>
      <c r="AO604" t="s">
        <v>7152</v>
      </c>
      <c r="AP604" t="s">
        <v>74</v>
      </c>
      <c r="AQ604" t="s">
        <v>74</v>
      </c>
      <c r="AR604" t="s">
        <v>7153</v>
      </c>
      <c r="AS604" t="s">
        <v>7154</v>
      </c>
      <c r="AT604" t="s">
        <v>7963</v>
      </c>
      <c r="AU604">
        <v>2006</v>
      </c>
      <c r="AV604">
        <v>85</v>
      </c>
      <c r="AW604">
        <v>12</v>
      </c>
      <c r="AX604" t="s">
        <v>74</v>
      </c>
      <c r="AY604" t="s">
        <v>74</v>
      </c>
      <c r="AZ604" t="s">
        <v>74</v>
      </c>
      <c r="BA604" t="s">
        <v>74</v>
      </c>
      <c r="BB604">
        <v>1402</v>
      </c>
      <c r="BC604">
        <v>1421</v>
      </c>
      <c r="BD604" t="s">
        <v>74</v>
      </c>
      <c r="BE604" t="s">
        <v>74</v>
      </c>
      <c r="BF604" t="s">
        <v>74</v>
      </c>
      <c r="BG604" t="s">
        <v>74</v>
      </c>
      <c r="BH604" t="s">
        <v>74</v>
      </c>
      <c r="BI604">
        <v>20</v>
      </c>
      <c r="BJ604" t="s">
        <v>596</v>
      </c>
      <c r="BK604" t="s">
        <v>97</v>
      </c>
      <c r="BL604" t="s">
        <v>596</v>
      </c>
      <c r="BM604" t="s">
        <v>9553</v>
      </c>
      <c r="BN604" t="s">
        <v>74</v>
      </c>
      <c r="BO604" t="s">
        <v>74</v>
      </c>
      <c r="BP604" t="s">
        <v>74</v>
      </c>
      <c r="BQ604" t="s">
        <v>74</v>
      </c>
      <c r="BR604" t="s">
        <v>100</v>
      </c>
      <c r="BS604" t="s">
        <v>9554</v>
      </c>
      <c r="BT604" t="str">
        <f>HYPERLINK("https%3A%2F%2Fwww.webofscience.com%2Fwos%2Fwoscc%2Ffull-record%2FWOS:000243779000002","View Full Record in Web of Science")</f>
        <v>View Full Record in Web of Science</v>
      </c>
    </row>
    <row r="605" spans="1:72" x14ac:dyDescent="0.15">
      <c r="A605" t="s">
        <v>72</v>
      </c>
      <c r="B605" t="s">
        <v>9555</v>
      </c>
      <c r="C605" t="s">
        <v>74</v>
      </c>
      <c r="D605" t="s">
        <v>74</v>
      </c>
      <c r="E605" t="s">
        <v>74</v>
      </c>
      <c r="F605" t="s">
        <v>9556</v>
      </c>
      <c r="G605" t="s">
        <v>74</v>
      </c>
      <c r="H605" t="s">
        <v>74</v>
      </c>
      <c r="I605" t="s">
        <v>9557</v>
      </c>
      <c r="J605" t="s">
        <v>7547</v>
      </c>
      <c r="K605" t="s">
        <v>74</v>
      </c>
      <c r="L605" t="s">
        <v>74</v>
      </c>
      <c r="M605" t="s">
        <v>78</v>
      </c>
      <c r="N605" t="s">
        <v>79</v>
      </c>
      <c r="O605" t="s">
        <v>74</v>
      </c>
      <c r="P605" t="s">
        <v>74</v>
      </c>
      <c r="Q605" t="s">
        <v>74</v>
      </c>
      <c r="R605" t="s">
        <v>74</v>
      </c>
      <c r="S605" t="s">
        <v>74</v>
      </c>
      <c r="T605" t="s">
        <v>9558</v>
      </c>
      <c r="U605" t="s">
        <v>9559</v>
      </c>
      <c r="V605" t="s">
        <v>9560</v>
      </c>
      <c r="W605" t="s">
        <v>9561</v>
      </c>
      <c r="X605" t="s">
        <v>9562</v>
      </c>
      <c r="Y605" t="s">
        <v>9563</v>
      </c>
      <c r="Z605" t="s">
        <v>9564</v>
      </c>
      <c r="AA605" t="s">
        <v>9565</v>
      </c>
      <c r="AB605" t="s">
        <v>9566</v>
      </c>
      <c r="AC605" t="s">
        <v>74</v>
      </c>
      <c r="AD605" t="s">
        <v>74</v>
      </c>
      <c r="AE605" t="s">
        <v>74</v>
      </c>
      <c r="AF605" t="s">
        <v>74</v>
      </c>
      <c r="AG605">
        <v>80</v>
      </c>
      <c r="AH605">
        <v>26</v>
      </c>
      <c r="AI605">
        <v>28</v>
      </c>
      <c r="AJ605">
        <v>0</v>
      </c>
      <c r="AK605">
        <v>12</v>
      </c>
      <c r="AL605" t="s">
        <v>2829</v>
      </c>
      <c r="AM605" t="s">
        <v>903</v>
      </c>
      <c r="AN605" t="s">
        <v>2830</v>
      </c>
      <c r="AO605" t="s">
        <v>7557</v>
      </c>
      <c r="AP605" t="s">
        <v>7558</v>
      </c>
      <c r="AQ605" t="s">
        <v>74</v>
      </c>
      <c r="AR605" t="s">
        <v>7559</v>
      </c>
      <c r="AS605" t="s">
        <v>7560</v>
      </c>
      <c r="AT605" t="s">
        <v>9567</v>
      </c>
      <c r="AU605">
        <v>2006</v>
      </c>
      <c r="AV605">
        <v>252</v>
      </c>
      <c r="AW605" t="s">
        <v>94</v>
      </c>
      <c r="AX605" t="s">
        <v>74</v>
      </c>
      <c r="AY605" t="s">
        <v>74</v>
      </c>
      <c r="AZ605" t="s">
        <v>74</v>
      </c>
      <c r="BA605" t="s">
        <v>74</v>
      </c>
      <c r="BB605">
        <v>162</v>
      </c>
      <c r="BC605">
        <v>179</v>
      </c>
      <c r="BD605" t="s">
        <v>74</v>
      </c>
      <c r="BE605" t="s">
        <v>9568</v>
      </c>
      <c r="BF605" t="str">
        <f>HYPERLINK("http://dx.doi.org/10.1016/j.epsl.2006.09.037","http://dx.doi.org/10.1016/j.epsl.2006.09.037")</f>
        <v>http://dx.doi.org/10.1016/j.epsl.2006.09.037</v>
      </c>
      <c r="BG605" t="s">
        <v>74</v>
      </c>
      <c r="BH605" t="s">
        <v>74</v>
      </c>
      <c r="BI605">
        <v>18</v>
      </c>
      <c r="BJ605" t="s">
        <v>865</v>
      </c>
      <c r="BK605" t="s">
        <v>97</v>
      </c>
      <c r="BL605" t="s">
        <v>865</v>
      </c>
      <c r="BM605" t="s">
        <v>9569</v>
      </c>
      <c r="BN605" t="s">
        <v>74</v>
      </c>
      <c r="BO605" t="s">
        <v>74</v>
      </c>
      <c r="BP605" t="s">
        <v>74</v>
      </c>
      <c r="BQ605" t="s">
        <v>74</v>
      </c>
      <c r="BR605" t="s">
        <v>100</v>
      </c>
      <c r="BS605" t="s">
        <v>9570</v>
      </c>
      <c r="BT605" t="str">
        <f>HYPERLINK("https%3A%2F%2Fwww.webofscience.com%2Fwos%2Fwoscc%2Ffull-record%2FWOS:000242860200013","View Full Record in Web of Science")</f>
        <v>View Full Record in Web of Science</v>
      </c>
    </row>
    <row r="606" spans="1:72" x14ac:dyDescent="0.15">
      <c r="A606" t="s">
        <v>72</v>
      </c>
      <c r="B606" t="s">
        <v>9571</v>
      </c>
      <c r="C606" t="s">
        <v>74</v>
      </c>
      <c r="D606" t="s">
        <v>74</v>
      </c>
      <c r="E606" t="s">
        <v>74</v>
      </c>
      <c r="F606" t="s">
        <v>9572</v>
      </c>
      <c r="G606" t="s">
        <v>74</v>
      </c>
      <c r="H606" t="s">
        <v>74</v>
      </c>
      <c r="I606" t="s">
        <v>9573</v>
      </c>
      <c r="J606" t="s">
        <v>7251</v>
      </c>
      <c r="K606" t="s">
        <v>74</v>
      </c>
      <c r="L606" t="s">
        <v>74</v>
      </c>
      <c r="M606" t="s">
        <v>78</v>
      </c>
      <c r="N606" t="s">
        <v>79</v>
      </c>
      <c r="O606" t="s">
        <v>74</v>
      </c>
      <c r="P606" t="s">
        <v>74</v>
      </c>
      <c r="Q606" t="s">
        <v>74</v>
      </c>
      <c r="R606" t="s">
        <v>74</v>
      </c>
      <c r="S606" t="s">
        <v>74</v>
      </c>
      <c r="T606" t="s">
        <v>74</v>
      </c>
      <c r="U606" t="s">
        <v>9574</v>
      </c>
      <c r="V606" t="s">
        <v>9575</v>
      </c>
      <c r="W606" t="s">
        <v>9576</v>
      </c>
      <c r="X606" t="s">
        <v>74</v>
      </c>
      <c r="Y606" t="s">
        <v>9577</v>
      </c>
      <c r="Z606" t="s">
        <v>9578</v>
      </c>
      <c r="AA606" t="s">
        <v>9579</v>
      </c>
      <c r="AB606" t="s">
        <v>9580</v>
      </c>
      <c r="AC606" t="s">
        <v>74</v>
      </c>
      <c r="AD606" t="s">
        <v>74</v>
      </c>
      <c r="AE606" t="s">
        <v>74</v>
      </c>
      <c r="AF606" t="s">
        <v>74</v>
      </c>
      <c r="AG606">
        <v>32</v>
      </c>
      <c r="AH606">
        <v>11</v>
      </c>
      <c r="AI606">
        <v>11</v>
      </c>
      <c r="AJ606">
        <v>0</v>
      </c>
      <c r="AK606">
        <v>7</v>
      </c>
      <c r="AL606" t="s">
        <v>7239</v>
      </c>
      <c r="AM606" t="s">
        <v>5498</v>
      </c>
      <c r="AN606" t="s">
        <v>7240</v>
      </c>
      <c r="AO606" t="s">
        <v>7257</v>
      </c>
      <c r="AP606" t="s">
        <v>7394</v>
      </c>
      <c r="AQ606" t="s">
        <v>74</v>
      </c>
      <c r="AR606" t="s">
        <v>7258</v>
      </c>
      <c r="AS606" t="s">
        <v>7259</v>
      </c>
      <c r="AT606" t="s">
        <v>9567</v>
      </c>
      <c r="AU606">
        <v>2006</v>
      </c>
      <c r="AV606">
        <v>33</v>
      </c>
      <c r="AW606">
        <v>22</v>
      </c>
      <c r="AX606" t="s">
        <v>74</v>
      </c>
      <c r="AY606" t="s">
        <v>74</v>
      </c>
      <c r="AZ606" t="s">
        <v>74</v>
      </c>
      <c r="BA606" t="s">
        <v>74</v>
      </c>
      <c r="BB606" t="s">
        <v>74</v>
      </c>
      <c r="BC606" t="s">
        <v>74</v>
      </c>
      <c r="BD606" t="s">
        <v>9581</v>
      </c>
      <c r="BE606" t="s">
        <v>9582</v>
      </c>
      <c r="BF606" t="str">
        <f>HYPERLINK("http://dx.doi.org/10.1029/2006GL027681","http://dx.doi.org/10.1029/2006GL027681")</f>
        <v>http://dx.doi.org/10.1029/2006GL027681</v>
      </c>
      <c r="BG606" t="s">
        <v>74</v>
      </c>
      <c r="BH606" t="s">
        <v>74</v>
      </c>
      <c r="BI606">
        <v>5</v>
      </c>
      <c r="BJ606" t="s">
        <v>685</v>
      </c>
      <c r="BK606" t="s">
        <v>97</v>
      </c>
      <c r="BL606" t="s">
        <v>642</v>
      </c>
      <c r="BM606" t="s">
        <v>9583</v>
      </c>
      <c r="BN606" t="s">
        <v>74</v>
      </c>
      <c r="BO606" t="s">
        <v>7472</v>
      </c>
      <c r="BP606" t="s">
        <v>74</v>
      </c>
      <c r="BQ606" t="s">
        <v>74</v>
      </c>
      <c r="BR606" t="s">
        <v>100</v>
      </c>
      <c r="BS606" t="s">
        <v>9584</v>
      </c>
      <c r="BT606" t="str">
        <f>HYPERLINK("https%3A%2F%2Fwww.webofscience.com%2Fwos%2Fwoscc%2Ffull-record%2FWOS:000242739000005","View Full Record in Web of Science")</f>
        <v>View Full Record in Web of Science</v>
      </c>
    </row>
    <row r="607" spans="1:72" x14ac:dyDescent="0.15">
      <c r="A607" t="s">
        <v>72</v>
      </c>
      <c r="B607" t="s">
        <v>3964</v>
      </c>
      <c r="C607" t="s">
        <v>74</v>
      </c>
      <c r="D607" t="s">
        <v>74</v>
      </c>
      <c r="E607" t="s">
        <v>74</v>
      </c>
      <c r="F607" t="s">
        <v>3965</v>
      </c>
      <c r="G607" t="s">
        <v>74</v>
      </c>
      <c r="H607" t="s">
        <v>74</v>
      </c>
      <c r="I607" t="s">
        <v>9585</v>
      </c>
      <c r="J607" t="s">
        <v>7493</v>
      </c>
      <c r="K607" t="s">
        <v>74</v>
      </c>
      <c r="L607" t="s">
        <v>74</v>
      </c>
      <c r="M607" t="s">
        <v>78</v>
      </c>
      <c r="N607" t="s">
        <v>79</v>
      </c>
      <c r="O607" t="s">
        <v>74</v>
      </c>
      <c r="P607" t="s">
        <v>74</v>
      </c>
      <c r="Q607" t="s">
        <v>74</v>
      </c>
      <c r="R607" t="s">
        <v>74</v>
      </c>
      <c r="S607" t="s">
        <v>74</v>
      </c>
      <c r="T607" t="s">
        <v>9586</v>
      </c>
      <c r="U607" t="s">
        <v>9587</v>
      </c>
      <c r="V607" t="s">
        <v>9588</v>
      </c>
      <c r="W607" t="s">
        <v>9589</v>
      </c>
      <c r="X607" t="s">
        <v>9590</v>
      </c>
      <c r="Y607" t="s">
        <v>9591</v>
      </c>
      <c r="Z607" t="s">
        <v>9592</v>
      </c>
      <c r="AA607" t="s">
        <v>3975</v>
      </c>
      <c r="AB607" t="s">
        <v>74</v>
      </c>
      <c r="AC607" t="s">
        <v>74</v>
      </c>
      <c r="AD607" t="s">
        <v>74</v>
      </c>
      <c r="AE607" t="s">
        <v>74</v>
      </c>
      <c r="AF607" t="s">
        <v>74</v>
      </c>
      <c r="AG607">
        <v>51</v>
      </c>
      <c r="AH607">
        <v>11</v>
      </c>
      <c r="AI607">
        <v>13</v>
      </c>
      <c r="AJ607">
        <v>0</v>
      </c>
      <c r="AK607">
        <v>1</v>
      </c>
      <c r="AL607" t="s">
        <v>7503</v>
      </c>
      <c r="AM607" t="s">
        <v>7504</v>
      </c>
      <c r="AN607" t="s">
        <v>7505</v>
      </c>
      <c r="AO607" t="s">
        <v>7506</v>
      </c>
      <c r="AP607" t="s">
        <v>7507</v>
      </c>
      <c r="AQ607" t="s">
        <v>74</v>
      </c>
      <c r="AR607" t="s">
        <v>7493</v>
      </c>
      <c r="AS607" t="s">
        <v>7508</v>
      </c>
      <c r="AT607" t="s">
        <v>9567</v>
      </c>
      <c r="AU607">
        <v>2006</v>
      </c>
      <c r="AV607" t="s">
        <v>74</v>
      </c>
      <c r="AW607">
        <v>1368</v>
      </c>
      <c r="AX607" t="s">
        <v>74</v>
      </c>
      <c r="AY607" t="s">
        <v>74</v>
      </c>
      <c r="AZ607" t="s">
        <v>74</v>
      </c>
      <c r="BA607" t="s">
        <v>74</v>
      </c>
      <c r="BB607">
        <v>1</v>
      </c>
      <c r="BC607">
        <v>18</v>
      </c>
      <c r="BD607" t="s">
        <v>74</v>
      </c>
      <c r="BE607" t="s">
        <v>74</v>
      </c>
      <c r="BF607" t="s">
        <v>74</v>
      </c>
      <c r="BG607" t="s">
        <v>74</v>
      </c>
      <c r="BH607" t="s">
        <v>74</v>
      </c>
      <c r="BI607">
        <v>18</v>
      </c>
      <c r="BJ607" t="s">
        <v>596</v>
      </c>
      <c r="BK607" t="s">
        <v>97</v>
      </c>
      <c r="BL607" t="s">
        <v>596</v>
      </c>
      <c r="BM607" t="s">
        <v>9593</v>
      </c>
      <c r="BN607" t="s">
        <v>74</v>
      </c>
      <c r="BO607" t="s">
        <v>74</v>
      </c>
      <c r="BP607" t="s">
        <v>74</v>
      </c>
      <c r="BQ607" t="s">
        <v>74</v>
      </c>
      <c r="BR607" t="s">
        <v>100</v>
      </c>
      <c r="BS607" t="s">
        <v>9594</v>
      </c>
      <c r="BT607" t="str">
        <f>HYPERLINK("https%3A%2F%2Fwww.webofscience.com%2Fwos%2Fwoscc%2Ffull-record%2FWOS:000242382100001","View Full Record in Web of Science")</f>
        <v>View Full Record in Web of Science</v>
      </c>
    </row>
    <row r="608" spans="1:72" x14ac:dyDescent="0.15">
      <c r="A608" t="s">
        <v>72</v>
      </c>
      <c r="B608" t="s">
        <v>9595</v>
      </c>
      <c r="C608" t="s">
        <v>74</v>
      </c>
      <c r="D608" t="s">
        <v>74</v>
      </c>
      <c r="E608" t="s">
        <v>74</v>
      </c>
      <c r="F608" t="s">
        <v>9596</v>
      </c>
      <c r="G608" t="s">
        <v>74</v>
      </c>
      <c r="H608" t="s">
        <v>74</v>
      </c>
      <c r="I608" t="s">
        <v>9597</v>
      </c>
      <c r="J608" t="s">
        <v>9598</v>
      </c>
      <c r="K608" t="s">
        <v>74</v>
      </c>
      <c r="L608" t="s">
        <v>74</v>
      </c>
      <c r="M608" t="s">
        <v>78</v>
      </c>
      <c r="N608" t="s">
        <v>79</v>
      </c>
      <c r="O608" t="s">
        <v>74</v>
      </c>
      <c r="P608" t="s">
        <v>74</v>
      </c>
      <c r="Q608" t="s">
        <v>74</v>
      </c>
      <c r="R608" t="s">
        <v>74</v>
      </c>
      <c r="S608" t="s">
        <v>74</v>
      </c>
      <c r="T608" t="s">
        <v>9599</v>
      </c>
      <c r="U608" t="s">
        <v>9600</v>
      </c>
      <c r="V608" t="s">
        <v>9601</v>
      </c>
      <c r="W608" t="s">
        <v>9602</v>
      </c>
      <c r="X608" t="s">
        <v>9603</v>
      </c>
      <c r="Y608" t="s">
        <v>9604</v>
      </c>
      <c r="Z608" t="s">
        <v>9605</v>
      </c>
      <c r="AA608" t="s">
        <v>9606</v>
      </c>
      <c r="AB608" t="s">
        <v>9607</v>
      </c>
      <c r="AC608" t="s">
        <v>74</v>
      </c>
      <c r="AD608" t="s">
        <v>74</v>
      </c>
      <c r="AE608" t="s">
        <v>74</v>
      </c>
      <c r="AF608" t="s">
        <v>74</v>
      </c>
      <c r="AG608">
        <v>30</v>
      </c>
      <c r="AH608">
        <v>27</v>
      </c>
      <c r="AI608">
        <v>32</v>
      </c>
      <c r="AJ608">
        <v>0</v>
      </c>
      <c r="AK608">
        <v>20</v>
      </c>
      <c r="AL608" t="s">
        <v>902</v>
      </c>
      <c r="AM608" t="s">
        <v>903</v>
      </c>
      <c r="AN608" t="s">
        <v>5098</v>
      </c>
      <c r="AO608" t="s">
        <v>9608</v>
      </c>
      <c r="AP608" t="s">
        <v>74</v>
      </c>
      <c r="AQ608" t="s">
        <v>74</v>
      </c>
      <c r="AR608" t="s">
        <v>9598</v>
      </c>
      <c r="AS608" t="s">
        <v>9609</v>
      </c>
      <c r="AT608" t="s">
        <v>9610</v>
      </c>
      <c r="AU608">
        <v>2006</v>
      </c>
      <c r="AV608">
        <v>81</v>
      </c>
      <c r="AW608" t="s">
        <v>1283</v>
      </c>
      <c r="AX608" t="s">
        <v>74</v>
      </c>
      <c r="AY608" t="s">
        <v>74</v>
      </c>
      <c r="AZ608" t="s">
        <v>74</v>
      </c>
      <c r="BA608" t="s">
        <v>74</v>
      </c>
      <c r="BB608">
        <v>408</v>
      </c>
      <c r="BC608">
        <v>420</v>
      </c>
      <c r="BD608" t="s">
        <v>74</v>
      </c>
      <c r="BE608" t="s">
        <v>9611</v>
      </c>
      <c r="BF608" t="str">
        <f>HYPERLINK("http://dx.doi.org/10.1016/j.geomorph.2006.05.005","http://dx.doi.org/10.1016/j.geomorph.2006.05.005")</f>
        <v>http://dx.doi.org/10.1016/j.geomorph.2006.05.005</v>
      </c>
      <c r="BG608" t="s">
        <v>74</v>
      </c>
      <c r="BH608" t="s">
        <v>74</v>
      </c>
      <c r="BI608">
        <v>13</v>
      </c>
      <c r="BJ608" t="s">
        <v>663</v>
      </c>
      <c r="BK608" t="s">
        <v>97</v>
      </c>
      <c r="BL608" t="s">
        <v>664</v>
      </c>
      <c r="BM608" t="s">
        <v>9612</v>
      </c>
      <c r="BN608" t="s">
        <v>74</v>
      </c>
      <c r="BO608" t="s">
        <v>74</v>
      </c>
      <c r="BP608" t="s">
        <v>74</v>
      </c>
      <c r="BQ608" t="s">
        <v>74</v>
      </c>
      <c r="BR608" t="s">
        <v>100</v>
      </c>
      <c r="BS608" t="s">
        <v>9613</v>
      </c>
      <c r="BT608" t="str">
        <f>HYPERLINK("https%3A%2F%2Fwww.webofscience.com%2Fwos%2Fwoscc%2Ffull-record%2FWOS:000242879700013","View Full Record in Web of Science")</f>
        <v>View Full Record in Web of Science</v>
      </c>
    </row>
    <row r="609" spans="1:72" x14ac:dyDescent="0.15">
      <c r="A609" t="s">
        <v>72</v>
      </c>
      <c r="B609" t="s">
        <v>9614</v>
      </c>
      <c r="C609" t="s">
        <v>74</v>
      </c>
      <c r="D609" t="s">
        <v>74</v>
      </c>
      <c r="E609" t="s">
        <v>74</v>
      </c>
      <c r="F609" t="s">
        <v>9615</v>
      </c>
      <c r="G609" t="s">
        <v>74</v>
      </c>
      <c r="H609" t="s">
        <v>74</v>
      </c>
      <c r="I609" t="s">
        <v>9616</v>
      </c>
      <c r="J609" t="s">
        <v>9617</v>
      </c>
      <c r="K609" t="s">
        <v>74</v>
      </c>
      <c r="L609" t="s">
        <v>74</v>
      </c>
      <c r="M609" t="s">
        <v>78</v>
      </c>
      <c r="N609" t="s">
        <v>79</v>
      </c>
      <c r="O609" t="s">
        <v>74</v>
      </c>
      <c r="P609" t="s">
        <v>74</v>
      </c>
      <c r="Q609" t="s">
        <v>74</v>
      </c>
      <c r="R609" t="s">
        <v>74</v>
      </c>
      <c r="S609" t="s">
        <v>74</v>
      </c>
      <c r="T609" t="s">
        <v>9618</v>
      </c>
      <c r="U609" t="s">
        <v>9619</v>
      </c>
      <c r="V609" t="s">
        <v>9620</v>
      </c>
      <c r="W609" t="s">
        <v>9621</v>
      </c>
      <c r="X609" t="s">
        <v>9622</v>
      </c>
      <c r="Y609" t="s">
        <v>9623</v>
      </c>
      <c r="Z609" t="s">
        <v>9624</v>
      </c>
      <c r="AA609" t="s">
        <v>9625</v>
      </c>
      <c r="AB609" t="s">
        <v>74</v>
      </c>
      <c r="AC609" t="s">
        <v>74</v>
      </c>
      <c r="AD609" t="s">
        <v>74</v>
      </c>
      <c r="AE609" t="s">
        <v>74</v>
      </c>
      <c r="AF609" t="s">
        <v>74</v>
      </c>
      <c r="AG609">
        <v>27</v>
      </c>
      <c r="AH609">
        <v>4</v>
      </c>
      <c r="AI609">
        <v>8</v>
      </c>
      <c r="AJ609">
        <v>0</v>
      </c>
      <c r="AK609">
        <v>1</v>
      </c>
      <c r="AL609" t="s">
        <v>902</v>
      </c>
      <c r="AM609" t="s">
        <v>903</v>
      </c>
      <c r="AN609" t="s">
        <v>5098</v>
      </c>
      <c r="AO609" t="s">
        <v>9626</v>
      </c>
      <c r="AP609" t="s">
        <v>74</v>
      </c>
      <c r="AQ609" t="s">
        <v>74</v>
      </c>
      <c r="AR609" t="s">
        <v>9627</v>
      </c>
      <c r="AS609" t="s">
        <v>9628</v>
      </c>
      <c r="AT609" t="s">
        <v>9629</v>
      </c>
      <c r="AU609">
        <v>2006</v>
      </c>
      <c r="AV609">
        <v>339</v>
      </c>
      <c r="AW609">
        <v>1</v>
      </c>
      <c r="AX609" t="s">
        <v>74</v>
      </c>
      <c r="AY609" t="s">
        <v>74</v>
      </c>
      <c r="AZ609" t="s">
        <v>74</v>
      </c>
      <c r="BA609" t="s">
        <v>74</v>
      </c>
      <c r="BB609">
        <v>30</v>
      </c>
      <c r="BC609">
        <v>36</v>
      </c>
      <c r="BD609" t="s">
        <v>74</v>
      </c>
      <c r="BE609" t="s">
        <v>9630</v>
      </c>
      <c r="BF609" t="str">
        <f>HYPERLINK("http://dx.doi.org/10.1016/j.jembe.2006.06.002","http://dx.doi.org/10.1016/j.jembe.2006.06.002")</f>
        <v>http://dx.doi.org/10.1016/j.jembe.2006.06.002</v>
      </c>
      <c r="BG609" t="s">
        <v>74</v>
      </c>
      <c r="BH609" t="s">
        <v>74</v>
      </c>
      <c r="BI609">
        <v>7</v>
      </c>
      <c r="BJ609" t="s">
        <v>4393</v>
      </c>
      <c r="BK609" t="s">
        <v>97</v>
      </c>
      <c r="BL609" t="s">
        <v>198</v>
      </c>
      <c r="BM609" t="s">
        <v>9631</v>
      </c>
      <c r="BN609" t="s">
        <v>74</v>
      </c>
      <c r="BO609" t="s">
        <v>74</v>
      </c>
      <c r="BP609" t="s">
        <v>74</v>
      </c>
      <c r="BQ609" t="s">
        <v>74</v>
      </c>
      <c r="BR609" t="s">
        <v>100</v>
      </c>
      <c r="BS609" t="s">
        <v>9632</v>
      </c>
      <c r="BT609" t="str">
        <f>HYPERLINK("https%3A%2F%2Fwww.webofscience.com%2Fwos%2Fwoscc%2Ffull-record%2FWOS:000241712500003","View Full Record in Web of Science")</f>
        <v>View Full Record in Web of Science</v>
      </c>
    </row>
    <row r="610" spans="1:72" x14ac:dyDescent="0.15">
      <c r="A610" t="s">
        <v>72</v>
      </c>
      <c r="B610" t="s">
        <v>9633</v>
      </c>
      <c r="C610" t="s">
        <v>74</v>
      </c>
      <c r="D610" t="s">
        <v>74</v>
      </c>
      <c r="E610" t="s">
        <v>74</v>
      </c>
      <c r="F610" t="s">
        <v>9634</v>
      </c>
      <c r="G610" t="s">
        <v>74</v>
      </c>
      <c r="H610" t="s">
        <v>74</v>
      </c>
      <c r="I610" t="s">
        <v>9635</v>
      </c>
      <c r="J610" t="s">
        <v>7439</v>
      </c>
      <c r="K610" t="s">
        <v>74</v>
      </c>
      <c r="L610" t="s">
        <v>74</v>
      </c>
      <c r="M610" t="s">
        <v>78</v>
      </c>
      <c r="N610" t="s">
        <v>79</v>
      </c>
      <c r="O610" t="s">
        <v>74</v>
      </c>
      <c r="P610" t="s">
        <v>74</v>
      </c>
      <c r="Q610" t="s">
        <v>74</v>
      </c>
      <c r="R610" t="s">
        <v>74</v>
      </c>
      <c r="S610" t="s">
        <v>74</v>
      </c>
      <c r="T610" t="s">
        <v>74</v>
      </c>
      <c r="U610" t="s">
        <v>9636</v>
      </c>
      <c r="V610" t="s">
        <v>9637</v>
      </c>
      <c r="W610" t="s">
        <v>9638</v>
      </c>
      <c r="X610" t="s">
        <v>9639</v>
      </c>
      <c r="Y610" t="s">
        <v>9640</v>
      </c>
      <c r="Z610" t="s">
        <v>9641</v>
      </c>
      <c r="AA610" t="s">
        <v>9642</v>
      </c>
      <c r="AB610" t="s">
        <v>9643</v>
      </c>
      <c r="AC610" t="s">
        <v>74</v>
      </c>
      <c r="AD610" t="s">
        <v>74</v>
      </c>
      <c r="AE610" t="s">
        <v>74</v>
      </c>
      <c r="AF610" t="s">
        <v>74</v>
      </c>
      <c r="AG610">
        <v>66</v>
      </c>
      <c r="AH610">
        <v>28</v>
      </c>
      <c r="AI610">
        <v>34</v>
      </c>
      <c r="AJ610">
        <v>2</v>
      </c>
      <c r="AK610">
        <v>14</v>
      </c>
      <c r="AL610" t="s">
        <v>7239</v>
      </c>
      <c r="AM610" t="s">
        <v>5498</v>
      </c>
      <c r="AN610" t="s">
        <v>7240</v>
      </c>
      <c r="AO610" t="s">
        <v>7448</v>
      </c>
      <c r="AP610" t="s">
        <v>7449</v>
      </c>
      <c r="AQ610" t="s">
        <v>74</v>
      </c>
      <c r="AR610" t="s">
        <v>7450</v>
      </c>
      <c r="AS610" t="s">
        <v>7451</v>
      </c>
      <c r="AT610" t="s">
        <v>9629</v>
      </c>
      <c r="AU610">
        <v>2006</v>
      </c>
      <c r="AV610">
        <v>111</v>
      </c>
      <c r="AW610" t="s">
        <v>9644</v>
      </c>
      <c r="AX610" t="s">
        <v>74</v>
      </c>
      <c r="AY610" t="s">
        <v>74</v>
      </c>
      <c r="AZ610" t="s">
        <v>74</v>
      </c>
      <c r="BA610" t="s">
        <v>74</v>
      </c>
      <c r="BB610" t="s">
        <v>74</v>
      </c>
      <c r="BC610" t="s">
        <v>74</v>
      </c>
      <c r="BD610" t="s">
        <v>9645</v>
      </c>
      <c r="BE610" t="s">
        <v>9646</v>
      </c>
      <c r="BF610" t="str">
        <f>HYPERLINK("http://dx.doi.org/10.1029/2005JD007022","http://dx.doi.org/10.1029/2005JD007022")</f>
        <v>http://dx.doi.org/10.1029/2005JD007022</v>
      </c>
      <c r="BG610" t="s">
        <v>74</v>
      </c>
      <c r="BH610" t="s">
        <v>74</v>
      </c>
      <c r="BI610">
        <v>14</v>
      </c>
      <c r="BJ610" t="s">
        <v>3208</v>
      </c>
      <c r="BK610" t="s">
        <v>97</v>
      </c>
      <c r="BL610" t="s">
        <v>3208</v>
      </c>
      <c r="BM610" t="s">
        <v>9647</v>
      </c>
      <c r="BN610" t="s">
        <v>74</v>
      </c>
      <c r="BO610" t="s">
        <v>124</v>
      </c>
      <c r="BP610" t="s">
        <v>74</v>
      </c>
      <c r="BQ610" t="s">
        <v>74</v>
      </c>
      <c r="BR610" t="s">
        <v>100</v>
      </c>
      <c r="BS610" t="s">
        <v>9648</v>
      </c>
      <c r="BT610" t="str">
        <f>HYPERLINK("https%3A%2F%2Fwww.webofscience.com%2Fwos%2Fwoscc%2Ffull-record%2FWOS:000242740600001","View Full Record in Web of Science")</f>
        <v>View Full Record in Web of Science</v>
      </c>
    </row>
    <row r="611" spans="1:72" x14ac:dyDescent="0.15">
      <c r="A611" t="s">
        <v>72</v>
      </c>
      <c r="B611" t="s">
        <v>9649</v>
      </c>
      <c r="C611" t="s">
        <v>74</v>
      </c>
      <c r="D611" t="s">
        <v>74</v>
      </c>
      <c r="E611" t="s">
        <v>74</v>
      </c>
      <c r="F611" t="s">
        <v>9650</v>
      </c>
      <c r="G611" t="s">
        <v>74</v>
      </c>
      <c r="H611" t="s">
        <v>74</v>
      </c>
      <c r="I611" t="s">
        <v>9651</v>
      </c>
      <c r="J611" t="s">
        <v>7287</v>
      </c>
      <c r="K611" t="s">
        <v>74</v>
      </c>
      <c r="L611" t="s">
        <v>74</v>
      </c>
      <c r="M611" t="s">
        <v>78</v>
      </c>
      <c r="N611" t="s">
        <v>79</v>
      </c>
      <c r="O611" t="s">
        <v>74</v>
      </c>
      <c r="P611" t="s">
        <v>74</v>
      </c>
      <c r="Q611" t="s">
        <v>74</v>
      </c>
      <c r="R611" t="s">
        <v>74</v>
      </c>
      <c r="S611" t="s">
        <v>74</v>
      </c>
      <c r="T611" t="s">
        <v>74</v>
      </c>
      <c r="U611" t="s">
        <v>9652</v>
      </c>
      <c r="V611" t="s">
        <v>9653</v>
      </c>
      <c r="W611" t="s">
        <v>9654</v>
      </c>
      <c r="X611" t="s">
        <v>9655</v>
      </c>
      <c r="Y611" t="s">
        <v>9656</v>
      </c>
      <c r="Z611" t="s">
        <v>9657</v>
      </c>
      <c r="AA611" t="s">
        <v>74</v>
      </c>
      <c r="AB611" t="s">
        <v>9658</v>
      </c>
      <c r="AC611" t="s">
        <v>9659</v>
      </c>
      <c r="AD611" t="s">
        <v>1647</v>
      </c>
      <c r="AE611" t="s">
        <v>74</v>
      </c>
      <c r="AF611" t="s">
        <v>74</v>
      </c>
      <c r="AG611">
        <v>24</v>
      </c>
      <c r="AH611">
        <v>7</v>
      </c>
      <c r="AI611">
        <v>7</v>
      </c>
      <c r="AJ611">
        <v>1</v>
      </c>
      <c r="AK611">
        <v>4</v>
      </c>
      <c r="AL611" t="s">
        <v>7239</v>
      </c>
      <c r="AM611" t="s">
        <v>5498</v>
      </c>
      <c r="AN611" t="s">
        <v>7240</v>
      </c>
      <c r="AO611" t="s">
        <v>7296</v>
      </c>
      <c r="AP611" t="s">
        <v>7297</v>
      </c>
      <c r="AQ611" t="s">
        <v>74</v>
      </c>
      <c r="AR611" t="s">
        <v>7298</v>
      </c>
      <c r="AS611" t="s">
        <v>7299</v>
      </c>
      <c r="AT611" t="s">
        <v>9660</v>
      </c>
      <c r="AU611">
        <v>2006</v>
      </c>
      <c r="AV611">
        <v>111</v>
      </c>
      <c r="AW611" t="s">
        <v>9661</v>
      </c>
      <c r="AX611" t="s">
        <v>74</v>
      </c>
      <c r="AY611" t="s">
        <v>74</v>
      </c>
      <c r="AZ611" t="s">
        <v>74</v>
      </c>
      <c r="BA611" t="s">
        <v>74</v>
      </c>
      <c r="BB611" t="s">
        <v>74</v>
      </c>
      <c r="BC611" t="s">
        <v>74</v>
      </c>
      <c r="BD611" t="s">
        <v>9662</v>
      </c>
      <c r="BE611" t="s">
        <v>9663</v>
      </c>
      <c r="BF611" t="str">
        <f>HYPERLINK("http://dx.doi.org/10.1029/2005JC002996","http://dx.doi.org/10.1029/2005JC002996")</f>
        <v>http://dx.doi.org/10.1029/2005JC002996</v>
      </c>
      <c r="BG611" t="s">
        <v>74</v>
      </c>
      <c r="BH611" t="s">
        <v>74</v>
      </c>
      <c r="BI611">
        <v>14</v>
      </c>
      <c r="BJ611" t="s">
        <v>1260</v>
      </c>
      <c r="BK611" t="s">
        <v>97</v>
      </c>
      <c r="BL611" t="s">
        <v>1260</v>
      </c>
      <c r="BM611" t="s">
        <v>9664</v>
      </c>
      <c r="BN611" t="s">
        <v>74</v>
      </c>
      <c r="BO611" t="s">
        <v>3355</v>
      </c>
      <c r="BP611" t="s">
        <v>74</v>
      </c>
      <c r="BQ611" t="s">
        <v>74</v>
      </c>
      <c r="BR611" t="s">
        <v>100</v>
      </c>
      <c r="BS611" t="s">
        <v>9665</v>
      </c>
      <c r="BT611" t="str">
        <f>HYPERLINK("https%3A%2F%2Fwww.webofscience.com%2Fwos%2Fwoscc%2Ffull-record%2FWOS:000242369600001","View Full Record in Web of Science")</f>
        <v>View Full Record in Web of Science</v>
      </c>
    </row>
    <row r="612" spans="1:72" x14ac:dyDescent="0.15">
      <c r="A612" t="s">
        <v>72</v>
      </c>
      <c r="B612" t="s">
        <v>9666</v>
      </c>
      <c r="C612" t="s">
        <v>74</v>
      </c>
      <c r="D612" t="s">
        <v>74</v>
      </c>
      <c r="E612" t="s">
        <v>74</v>
      </c>
      <c r="F612" t="s">
        <v>9667</v>
      </c>
      <c r="G612" t="s">
        <v>74</v>
      </c>
      <c r="H612" t="s">
        <v>74</v>
      </c>
      <c r="I612" t="s">
        <v>9668</v>
      </c>
      <c r="J612" t="s">
        <v>7832</v>
      </c>
      <c r="K612" t="s">
        <v>74</v>
      </c>
      <c r="L612" t="s">
        <v>74</v>
      </c>
      <c r="M612" t="s">
        <v>78</v>
      </c>
      <c r="N612" t="s">
        <v>79</v>
      </c>
      <c r="O612" t="s">
        <v>74</v>
      </c>
      <c r="P612" t="s">
        <v>74</v>
      </c>
      <c r="Q612" t="s">
        <v>74</v>
      </c>
      <c r="R612" t="s">
        <v>74</v>
      </c>
      <c r="S612" t="s">
        <v>74</v>
      </c>
      <c r="T612" t="s">
        <v>9669</v>
      </c>
      <c r="U612" t="s">
        <v>9670</v>
      </c>
      <c r="V612" t="s">
        <v>9671</v>
      </c>
      <c r="W612" t="s">
        <v>9672</v>
      </c>
      <c r="X612" t="s">
        <v>9673</v>
      </c>
      <c r="Y612" t="s">
        <v>9674</v>
      </c>
      <c r="Z612" t="s">
        <v>9675</v>
      </c>
      <c r="AA612" t="s">
        <v>7840</v>
      </c>
      <c r="AB612" t="s">
        <v>9676</v>
      </c>
      <c r="AC612" t="s">
        <v>74</v>
      </c>
      <c r="AD612" t="s">
        <v>74</v>
      </c>
      <c r="AE612" t="s">
        <v>74</v>
      </c>
      <c r="AF612" t="s">
        <v>74</v>
      </c>
      <c r="AG612">
        <v>37</v>
      </c>
      <c r="AH612">
        <v>71</v>
      </c>
      <c r="AI612">
        <v>74</v>
      </c>
      <c r="AJ612">
        <v>0</v>
      </c>
      <c r="AK612">
        <v>14</v>
      </c>
      <c r="AL612" t="s">
        <v>902</v>
      </c>
      <c r="AM612" t="s">
        <v>903</v>
      </c>
      <c r="AN612" t="s">
        <v>5098</v>
      </c>
      <c r="AO612" t="s">
        <v>7843</v>
      </c>
      <c r="AP612" t="s">
        <v>7844</v>
      </c>
      <c r="AQ612" t="s">
        <v>74</v>
      </c>
      <c r="AR612" t="s">
        <v>7845</v>
      </c>
      <c r="AS612" t="s">
        <v>7846</v>
      </c>
      <c r="AT612" t="s">
        <v>9677</v>
      </c>
      <c r="AU612">
        <v>2006</v>
      </c>
      <c r="AV612">
        <v>242</v>
      </c>
      <c r="AW612" t="s">
        <v>94</v>
      </c>
      <c r="AX612" t="s">
        <v>74</v>
      </c>
      <c r="AY612" t="s">
        <v>74</v>
      </c>
      <c r="AZ612" t="s">
        <v>74</v>
      </c>
      <c r="BA612" t="s">
        <v>74</v>
      </c>
      <c r="BB612">
        <v>126</v>
      </c>
      <c r="BC612">
        <v>136</v>
      </c>
      <c r="BD612" t="s">
        <v>74</v>
      </c>
      <c r="BE612" t="s">
        <v>9678</v>
      </c>
      <c r="BF612" t="str">
        <f>HYPERLINK("http://dx.doi.org/10.1016/j.palaeo.2006.06.004","http://dx.doi.org/10.1016/j.palaeo.2006.06.004")</f>
        <v>http://dx.doi.org/10.1016/j.palaeo.2006.06.004</v>
      </c>
      <c r="BG612" t="s">
        <v>74</v>
      </c>
      <c r="BH612" t="s">
        <v>74</v>
      </c>
      <c r="BI612">
        <v>11</v>
      </c>
      <c r="BJ612" t="s">
        <v>7849</v>
      </c>
      <c r="BK612" t="s">
        <v>97</v>
      </c>
      <c r="BL612" t="s">
        <v>7850</v>
      </c>
      <c r="BM612" t="s">
        <v>9679</v>
      </c>
      <c r="BN612" t="s">
        <v>74</v>
      </c>
      <c r="BO612" t="s">
        <v>74</v>
      </c>
      <c r="BP612" t="s">
        <v>74</v>
      </c>
      <c r="BQ612" t="s">
        <v>74</v>
      </c>
      <c r="BR612" t="s">
        <v>100</v>
      </c>
      <c r="BS612" t="s">
        <v>9680</v>
      </c>
      <c r="BT612" t="str">
        <f>HYPERLINK("https%3A%2F%2Fwww.webofscience.com%2Fwos%2Fwoscc%2Ffull-record%2FWOS:000242463400008","View Full Record in Web of Science")</f>
        <v>View Full Record in Web of Science</v>
      </c>
    </row>
    <row r="613" spans="1:72" x14ac:dyDescent="0.15">
      <c r="A613" t="s">
        <v>72</v>
      </c>
      <c r="B613" t="s">
        <v>9681</v>
      </c>
      <c r="C613" t="s">
        <v>74</v>
      </c>
      <c r="D613" t="s">
        <v>74</v>
      </c>
      <c r="E613" t="s">
        <v>74</v>
      </c>
      <c r="F613" t="s">
        <v>9682</v>
      </c>
      <c r="G613" t="s">
        <v>74</v>
      </c>
      <c r="H613" t="s">
        <v>74</v>
      </c>
      <c r="I613" t="s">
        <v>9683</v>
      </c>
      <c r="J613" t="s">
        <v>7439</v>
      </c>
      <c r="K613" t="s">
        <v>74</v>
      </c>
      <c r="L613" t="s">
        <v>74</v>
      </c>
      <c r="M613" t="s">
        <v>78</v>
      </c>
      <c r="N613" t="s">
        <v>79</v>
      </c>
      <c r="O613" t="s">
        <v>74</v>
      </c>
      <c r="P613" t="s">
        <v>74</v>
      </c>
      <c r="Q613" t="s">
        <v>74</v>
      </c>
      <c r="R613" t="s">
        <v>74</v>
      </c>
      <c r="S613" t="s">
        <v>74</v>
      </c>
      <c r="T613" t="s">
        <v>74</v>
      </c>
      <c r="U613" t="s">
        <v>9684</v>
      </c>
      <c r="V613" t="s">
        <v>9685</v>
      </c>
      <c r="W613" t="s">
        <v>9686</v>
      </c>
      <c r="X613" t="s">
        <v>9687</v>
      </c>
      <c r="Y613" t="s">
        <v>9688</v>
      </c>
      <c r="Z613" t="s">
        <v>9689</v>
      </c>
      <c r="AA613" t="s">
        <v>9690</v>
      </c>
      <c r="AB613" t="s">
        <v>9691</v>
      </c>
      <c r="AC613" t="s">
        <v>157</v>
      </c>
      <c r="AD613" t="s">
        <v>158</v>
      </c>
      <c r="AE613" t="s">
        <v>74</v>
      </c>
      <c r="AF613" t="s">
        <v>74</v>
      </c>
      <c r="AG613">
        <v>71</v>
      </c>
      <c r="AH613">
        <v>18</v>
      </c>
      <c r="AI613">
        <v>22</v>
      </c>
      <c r="AJ613">
        <v>0</v>
      </c>
      <c r="AK613">
        <v>14</v>
      </c>
      <c r="AL613" t="s">
        <v>7239</v>
      </c>
      <c r="AM613" t="s">
        <v>5498</v>
      </c>
      <c r="AN613" t="s">
        <v>7240</v>
      </c>
      <c r="AO613" t="s">
        <v>7448</v>
      </c>
      <c r="AP613" t="s">
        <v>7449</v>
      </c>
      <c r="AQ613" t="s">
        <v>74</v>
      </c>
      <c r="AR613" t="s">
        <v>7450</v>
      </c>
      <c r="AS613" t="s">
        <v>7451</v>
      </c>
      <c r="AT613" t="s">
        <v>9692</v>
      </c>
      <c r="AU613">
        <v>2006</v>
      </c>
      <c r="AV613">
        <v>111</v>
      </c>
      <c r="AW613" t="s">
        <v>9644</v>
      </c>
      <c r="AX613" t="s">
        <v>74</v>
      </c>
      <c r="AY613" t="s">
        <v>74</v>
      </c>
      <c r="AZ613" t="s">
        <v>74</v>
      </c>
      <c r="BA613" t="s">
        <v>74</v>
      </c>
      <c r="BB613" t="s">
        <v>74</v>
      </c>
      <c r="BC613" t="s">
        <v>74</v>
      </c>
      <c r="BD613" t="s">
        <v>9693</v>
      </c>
      <c r="BE613" t="s">
        <v>9694</v>
      </c>
      <c r="BF613" t="str">
        <f>HYPERLINK("http://dx.doi.org/10.1029/2005JD006771","http://dx.doi.org/10.1029/2005JD006771")</f>
        <v>http://dx.doi.org/10.1029/2005JD006771</v>
      </c>
      <c r="BG613" t="s">
        <v>74</v>
      </c>
      <c r="BH613" t="s">
        <v>74</v>
      </c>
      <c r="BI613">
        <v>14</v>
      </c>
      <c r="BJ613" t="s">
        <v>3208</v>
      </c>
      <c r="BK613" t="s">
        <v>97</v>
      </c>
      <c r="BL613" t="s">
        <v>3208</v>
      </c>
      <c r="BM613" t="s">
        <v>9695</v>
      </c>
      <c r="BN613" t="s">
        <v>74</v>
      </c>
      <c r="BO613" t="s">
        <v>74</v>
      </c>
      <c r="BP613" t="s">
        <v>74</v>
      </c>
      <c r="BQ613" t="s">
        <v>74</v>
      </c>
      <c r="BR613" t="s">
        <v>100</v>
      </c>
      <c r="BS613" t="s">
        <v>9696</v>
      </c>
      <c r="BT613" t="str">
        <f>HYPERLINK("https%3A%2F%2Fwww.webofscience.com%2Fwos%2Fwoscc%2Ffull-record%2FWOS:000242368600002","View Full Record in Web of Science")</f>
        <v>View Full Record in Web of Science</v>
      </c>
    </row>
    <row r="614" spans="1:72" x14ac:dyDescent="0.15">
      <c r="A614" t="s">
        <v>72</v>
      </c>
      <c r="B614" t="s">
        <v>9697</v>
      </c>
      <c r="C614" t="s">
        <v>74</v>
      </c>
      <c r="D614" t="s">
        <v>74</v>
      </c>
      <c r="E614" t="s">
        <v>74</v>
      </c>
      <c r="F614" t="s">
        <v>9698</v>
      </c>
      <c r="G614" t="s">
        <v>74</v>
      </c>
      <c r="H614" t="s">
        <v>74</v>
      </c>
      <c r="I614" t="s">
        <v>9699</v>
      </c>
      <c r="J614" t="s">
        <v>9700</v>
      </c>
      <c r="K614" t="s">
        <v>74</v>
      </c>
      <c r="L614" t="s">
        <v>74</v>
      </c>
      <c r="M614" t="s">
        <v>78</v>
      </c>
      <c r="N614" t="s">
        <v>79</v>
      </c>
      <c r="O614" t="s">
        <v>74</v>
      </c>
      <c r="P614" t="s">
        <v>74</v>
      </c>
      <c r="Q614" t="s">
        <v>74</v>
      </c>
      <c r="R614" t="s">
        <v>74</v>
      </c>
      <c r="S614" t="s">
        <v>74</v>
      </c>
      <c r="T614" t="s">
        <v>9701</v>
      </c>
      <c r="U614" t="s">
        <v>9702</v>
      </c>
      <c r="V614" t="s">
        <v>9703</v>
      </c>
      <c r="W614" t="s">
        <v>7668</v>
      </c>
      <c r="X614" t="s">
        <v>1829</v>
      </c>
      <c r="Y614" t="s">
        <v>9704</v>
      </c>
      <c r="Z614" t="s">
        <v>9705</v>
      </c>
      <c r="AA614" t="s">
        <v>9706</v>
      </c>
      <c r="AB614" t="s">
        <v>9707</v>
      </c>
      <c r="AC614" t="s">
        <v>74</v>
      </c>
      <c r="AD614" t="s">
        <v>74</v>
      </c>
      <c r="AE614" t="s">
        <v>74</v>
      </c>
      <c r="AF614" t="s">
        <v>74</v>
      </c>
      <c r="AG614">
        <v>40</v>
      </c>
      <c r="AH614">
        <v>37</v>
      </c>
      <c r="AI614">
        <v>40</v>
      </c>
      <c r="AJ614">
        <v>1</v>
      </c>
      <c r="AK614">
        <v>4</v>
      </c>
      <c r="AL614" t="s">
        <v>2829</v>
      </c>
      <c r="AM614" t="s">
        <v>903</v>
      </c>
      <c r="AN614" t="s">
        <v>2830</v>
      </c>
      <c r="AO614" t="s">
        <v>9708</v>
      </c>
      <c r="AP614" t="s">
        <v>9709</v>
      </c>
      <c r="AQ614" t="s">
        <v>74</v>
      </c>
      <c r="AR614" t="s">
        <v>9710</v>
      </c>
      <c r="AS614" t="s">
        <v>9711</v>
      </c>
      <c r="AT614" t="s">
        <v>9692</v>
      </c>
      <c r="AU614">
        <v>2006</v>
      </c>
      <c r="AV614">
        <v>233</v>
      </c>
      <c r="AW614" t="s">
        <v>9712</v>
      </c>
      <c r="AX614" t="s">
        <v>74</v>
      </c>
      <c r="AY614" t="s">
        <v>74</v>
      </c>
      <c r="AZ614" t="s">
        <v>74</v>
      </c>
      <c r="BA614" t="s">
        <v>74</v>
      </c>
      <c r="BB614">
        <v>49</v>
      </c>
      <c r="BC614">
        <v>62</v>
      </c>
      <c r="BD614" t="s">
        <v>74</v>
      </c>
      <c r="BE614" t="s">
        <v>9713</v>
      </c>
      <c r="BF614" t="str">
        <f>HYPERLINK("http://dx.doi.org/10.1016/j.margeo.2006.08.008","http://dx.doi.org/10.1016/j.margeo.2006.08.008")</f>
        <v>http://dx.doi.org/10.1016/j.margeo.2006.08.008</v>
      </c>
      <c r="BG614" t="s">
        <v>74</v>
      </c>
      <c r="BH614" t="s">
        <v>74</v>
      </c>
      <c r="BI614">
        <v>14</v>
      </c>
      <c r="BJ614" t="s">
        <v>9714</v>
      </c>
      <c r="BK614" t="s">
        <v>97</v>
      </c>
      <c r="BL614" t="s">
        <v>6300</v>
      </c>
      <c r="BM614" t="s">
        <v>9715</v>
      </c>
      <c r="BN614" t="s">
        <v>74</v>
      </c>
      <c r="BO614" t="s">
        <v>1314</v>
      </c>
      <c r="BP614" t="s">
        <v>74</v>
      </c>
      <c r="BQ614" t="s">
        <v>74</v>
      </c>
      <c r="BR614" t="s">
        <v>100</v>
      </c>
      <c r="BS614" t="s">
        <v>9716</v>
      </c>
      <c r="BT614" t="str">
        <f>HYPERLINK("https%3A%2F%2Fwww.webofscience.com%2Fwos%2Fwoscc%2Ffull-record%2FWOS:000242332300004","View Full Record in Web of Science")</f>
        <v>View Full Record in Web of Science</v>
      </c>
    </row>
    <row r="615" spans="1:72" x14ac:dyDescent="0.15">
      <c r="A615" t="s">
        <v>72</v>
      </c>
      <c r="B615" t="s">
        <v>9717</v>
      </c>
      <c r="C615" t="s">
        <v>74</v>
      </c>
      <c r="D615" t="s">
        <v>74</v>
      </c>
      <c r="E615" t="s">
        <v>74</v>
      </c>
      <c r="F615" t="s">
        <v>9718</v>
      </c>
      <c r="G615" t="s">
        <v>74</v>
      </c>
      <c r="H615" t="s">
        <v>74</v>
      </c>
      <c r="I615" t="s">
        <v>9719</v>
      </c>
      <c r="J615" t="s">
        <v>7231</v>
      </c>
      <c r="K615" t="s">
        <v>74</v>
      </c>
      <c r="L615" t="s">
        <v>74</v>
      </c>
      <c r="M615" t="s">
        <v>78</v>
      </c>
      <c r="N615" t="s">
        <v>79</v>
      </c>
      <c r="O615" t="s">
        <v>74</v>
      </c>
      <c r="P615" t="s">
        <v>74</v>
      </c>
      <c r="Q615" t="s">
        <v>74</v>
      </c>
      <c r="R615" t="s">
        <v>74</v>
      </c>
      <c r="S615" t="s">
        <v>74</v>
      </c>
      <c r="T615" t="s">
        <v>9720</v>
      </c>
      <c r="U615" t="s">
        <v>9721</v>
      </c>
      <c r="V615" t="s">
        <v>9722</v>
      </c>
      <c r="W615" t="s">
        <v>7668</v>
      </c>
      <c r="X615" t="s">
        <v>1829</v>
      </c>
      <c r="Y615" t="s">
        <v>9723</v>
      </c>
      <c r="Z615" t="s">
        <v>9724</v>
      </c>
      <c r="AA615" t="s">
        <v>74</v>
      </c>
      <c r="AB615" t="s">
        <v>9725</v>
      </c>
      <c r="AC615" t="s">
        <v>74</v>
      </c>
      <c r="AD615" t="s">
        <v>74</v>
      </c>
      <c r="AE615" t="s">
        <v>74</v>
      </c>
      <c r="AF615" t="s">
        <v>74</v>
      </c>
      <c r="AG615">
        <v>71</v>
      </c>
      <c r="AH615">
        <v>16</v>
      </c>
      <c r="AI615">
        <v>17</v>
      </c>
      <c r="AJ615">
        <v>0</v>
      </c>
      <c r="AK615">
        <v>7</v>
      </c>
      <c r="AL615" t="s">
        <v>7239</v>
      </c>
      <c r="AM615" t="s">
        <v>5498</v>
      </c>
      <c r="AN615" t="s">
        <v>7240</v>
      </c>
      <c r="AO615" t="s">
        <v>74</v>
      </c>
      <c r="AP615" t="s">
        <v>7241</v>
      </c>
      <c r="AQ615" t="s">
        <v>74</v>
      </c>
      <c r="AR615" t="s">
        <v>7242</v>
      </c>
      <c r="AS615" t="s">
        <v>7243</v>
      </c>
      <c r="AT615" t="s">
        <v>9726</v>
      </c>
      <c r="AU615">
        <v>2006</v>
      </c>
      <c r="AV615">
        <v>7</v>
      </c>
      <c r="AW615" t="s">
        <v>74</v>
      </c>
      <c r="AX615" t="s">
        <v>74</v>
      </c>
      <c r="AY615" t="s">
        <v>74</v>
      </c>
      <c r="AZ615" t="s">
        <v>74</v>
      </c>
      <c r="BA615" t="s">
        <v>74</v>
      </c>
      <c r="BB615" t="s">
        <v>74</v>
      </c>
      <c r="BC615" t="s">
        <v>74</v>
      </c>
      <c r="BD615" t="s">
        <v>9727</v>
      </c>
      <c r="BE615" t="s">
        <v>9728</v>
      </c>
      <c r="BF615" t="str">
        <f>HYPERLINK("http://dx.doi.org/10.1029/2006GC001315","http://dx.doi.org/10.1029/2006GC001315")</f>
        <v>http://dx.doi.org/10.1029/2006GC001315</v>
      </c>
      <c r="BG615" t="s">
        <v>74</v>
      </c>
      <c r="BH615" t="s">
        <v>74</v>
      </c>
      <c r="BI615">
        <v>18</v>
      </c>
      <c r="BJ615" t="s">
        <v>865</v>
      </c>
      <c r="BK615" t="s">
        <v>97</v>
      </c>
      <c r="BL615" t="s">
        <v>865</v>
      </c>
      <c r="BM615" t="s">
        <v>9729</v>
      </c>
      <c r="BN615" t="s">
        <v>74</v>
      </c>
      <c r="BO615" t="s">
        <v>74</v>
      </c>
      <c r="BP615" t="s">
        <v>74</v>
      </c>
      <c r="BQ615" t="s">
        <v>74</v>
      </c>
      <c r="BR615" t="s">
        <v>100</v>
      </c>
      <c r="BS615" t="s">
        <v>9730</v>
      </c>
      <c r="BT615" t="str">
        <f>HYPERLINK("https%3A%2F%2Fwww.webofscience.com%2Fwos%2Fwoscc%2Ffull-record%2FWOS:000242367400002","View Full Record in Web of Science")</f>
        <v>View Full Record in Web of Science</v>
      </c>
    </row>
    <row r="616" spans="1:72" x14ac:dyDescent="0.15">
      <c r="A616" t="s">
        <v>72</v>
      </c>
      <c r="B616" t="s">
        <v>9731</v>
      </c>
      <c r="C616" t="s">
        <v>74</v>
      </c>
      <c r="D616" t="s">
        <v>74</v>
      </c>
      <c r="E616" t="s">
        <v>74</v>
      </c>
      <c r="F616" t="s">
        <v>9732</v>
      </c>
      <c r="G616" t="s">
        <v>74</v>
      </c>
      <c r="H616" t="s">
        <v>74</v>
      </c>
      <c r="I616" t="s">
        <v>9733</v>
      </c>
      <c r="J616" t="s">
        <v>7287</v>
      </c>
      <c r="K616" t="s">
        <v>74</v>
      </c>
      <c r="L616" t="s">
        <v>74</v>
      </c>
      <c r="M616" t="s">
        <v>78</v>
      </c>
      <c r="N616" t="s">
        <v>79</v>
      </c>
      <c r="O616" t="s">
        <v>74</v>
      </c>
      <c r="P616" t="s">
        <v>74</v>
      </c>
      <c r="Q616" t="s">
        <v>74</v>
      </c>
      <c r="R616" t="s">
        <v>74</v>
      </c>
      <c r="S616" t="s">
        <v>74</v>
      </c>
      <c r="T616" t="s">
        <v>74</v>
      </c>
      <c r="U616" t="s">
        <v>9734</v>
      </c>
      <c r="V616" t="s">
        <v>9735</v>
      </c>
      <c r="W616" t="s">
        <v>9736</v>
      </c>
      <c r="X616" t="s">
        <v>9737</v>
      </c>
      <c r="Y616" t="s">
        <v>9738</v>
      </c>
      <c r="Z616" t="s">
        <v>9739</v>
      </c>
      <c r="AA616" t="s">
        <v>9740</v>
      </c>
      <c r="AB616" t="s">
        <v>9741</v>
      </c>
      <c r="AC616" t="s">
        <v>9742</v>
      </c>
      <c r="AD616" t="s">
        <v>9743</v>
      </c>
      <c r="AE616" t="s">
        <v>74</v>
      </c>
      <c r="AF616" t="s">
        <v>74</v>
      </c>
      <c r="AG616">
        <v>86</v>
      </c>
      <c r="AH616">
        <v>436</v>
      </c>
      <c r="AI616">
        <v>493</v>
      </c>
      <c r="AJ616">
        <v>2</v>
      </c>
      <c r="AK616">
        <v>106</v>
      </c>
      <c r="AL616" t="s">
        <v>7239</v>
      </c>
      <c r="AM616" t="s">
        <v>5498</v>
      </c>
      <c r="AN616" t="s">
        <v>7240</v>
      </c>
      <c r="AO616" t="s">
        <v>7296</v>
      </c>
      <c r="AP616" t="s">
        <v>7297</v>
      </c>
      <c r="AQ616" t="s">
        <v>74</v>
      </c>
      <c r="AR616" t="s">
        <v>7298</v>
      </c>
      <c r="AS616" t="s">
        <v>7299</v>
      </c>
      <c r="AT616" t="s">
        <v>9726</v>
      </c>
      <c r="AU616">
        <v>2006</v>
      </c>
      <c r="AV616">
        <v>111</v>
      </c>
      <c r="AW616" t="s">
        <v>9661</v>
      </c>
      <c r="AX616" t="s">
        <v>74</v>
      </c>
      <c r="AY616" t="s">
        <v>74</v>
      </c>
      <c r="AZ616" t="s">
        <v>74</v>
      </c>
      <c r="BA616" t="s">
        <v>74</v>
      </c>
      <c r="BB616" t="s">
        <v>74</v>
      </c>
      <c r="BC616" t="s">
        <v>74</v>
      </c>
      <c r="BD616" t="s">
        <v>9744</v>
      </c>
      <c r="BE616" t="s">
        <v>9745</v>
      </c>
      <c r="BF616" t="str">
        <f>HYPERLINK("http://dx.doi.org/10.1029/2005JC003424","http://dx.doi.org/10.1029/2005JC003424")</f>
        <v>http://dx.doi.org/10.1029/2005JC003424</v>
      </c>
      <c r="BG616" t="s">
        <v>74</v>
      </c>
      <c r="BH616" t="s">
        <v>74</v>
      </c>
      <c r="BI616">
        <v>19</v>
      </c>
      <c r="BJ616" t="s">
        <v>1260</v>
      </c>
      <c r="BK616" t="s">
        <v>97</v>
      </c>
      <c r="BL616" t="s">
        <v>1260</v>
      </c>
      <c r="BM616" t="s">
        <v>9746</v>
      </c>
      <c r="BN616" t="s">
        <v>74</v>
      </c>
      <c r="BO616" t="s">
        <v>7472</v>
      </c>
      <c r="BP616" t="s">
        <v>74</v>
      </c>
      <c r="BQ616" t="s">
        <v>74</v>
      </c>
      <c r="BR616" t="s">
        <v>100</v>
      </c>
      <c r="BS616" t="s">
        <v>9747</v>
      </c>
      <c r="BT616" t="str">
        <f>HYPERLINK("https%3A%2F%2Fwww.webofscience.com%2Fwos%2Fwoscc%2Ffull-record%2FWOS:000242369400005","View Full Record in Web of Science")</f>
        <v>View Full Record in Web of Science</v>
      </c>
    </row>
    <row r="617" spans="1:72" x14ac:dyDescent="0.15">
      <c r="A617" t="s">
        <v>72</v>
      </c>
      <c r="B617" t="s">
        <v>9748</v>
      </c>
      <c r="C617" t="s">
        <v>74</v>
      </c>
      <c r="D617" t="s">
        <v>74</v>
      </c>
      <c r="E617" t="s">
        <v>74</v>
      </c>
      <c r="F617" t="s">
        <v>9749</v>
      </c>
      <c r="G617" t="s">
        <v>74</v>
      </c>
      <c r="H617" t="s">
        <v>74</v>
      </c>
      <c r="I617" t="s">
        <v>9750</v>
      </c>
      <c r="J617" t="s">
        <v>7251</v>
      </c>
      <c r="K617" t="s">
        <v>74</v>
      </c>
      <c r="L617" t="s">
        <v>74</v>
      </c>
      <c r="M617" t="s">
        <v>78</v>
      </c>
      <c r="N617" t="s">
        <v>79</v>
      </c>
      <c r="O617" t="s">
        <v>74</v>
      </c>
      <c r="P617" t="s">
        <v>74</v>
      </c>
      <c r="Q617" t="s">
        <v>74</v>
      </c>
      <c r="R617" t="s">
        <v>74</v>
      </c>
      <c r="S617" t="s">
        <v>74</v>
      </c>
      <c r="T617" t="s">
        <v>74</v>
      </c>
      <c r="U617" t="s">
        <v>9751</v>
      </c>
      <c r="V617" t="s">
        <v>9752</v>
      </c>
      <c r="W617" t="s">
        <v>9753</v>
      </c>
      <c r="X617" t="s">
        <v>9754</v>
      </c>
      <c r="Y617" t="s">
        <v>9755</v>
      </c>
      <c r="Z617" t="s">
        <v>9756</v>
      </c>
      <c r="AA617" t="s">
        <v>9757</v>
      </c>
      <c r="AB617" t="s">
        <v>74</v>
      </c>
      <c r="AC617" t="s">
        <v>74</v>
      </c>
      <c r="AD617" t="s">
        <v>74</v>
      </c>
      <c r="AE617" t="s">
        <v>74</v>
      </c>
      <c r="AF617" t="s">
        <v>74</v>
      </c>
      <c r="AG617">
        <v>23</v>
      </c>
      <c r="AH617">
        <v>7</v>
      </c>
      <c r="AI617">
        <v>9</v>
      </c>
      <c r="AJ617">
        <v>0</v>
      </c>
      <c r="AK617">
        <v>3</v>
      </c>
      <c r="AL617" t="s">
        <v>7239</v>
      </c>
      <c r="AM617" t="s">
        <v>5498</v>
      </c>
      <c r="AN617" t="s">
        <v>7240</v>
      </c>
      <c r="AO617" t="s">
        <v>7257</v>
      </c>
      <c r="AP617" t="s">
        <v>74</v>
      </c>
      <c r="AQ617" t="s">
        <v>74</v>
      </c>
      <c r="AR617" t="s">
        <v>7258</v>
      </c>
      <c r="AS617" t="s">
        <v>7259</v>
      </c>
      <c r="AT617" t="s">
        <v>9758</v>
      </c>
      <c r="AU617">
        <v>2006</v>
      </c>
      <c r="AV617">
        <v>33</v>
      </c>
      <c r="AW617">
        <v>22</v>
      </c>
      <c r="AX617" t="s">
        <v>74</v>
      </c>
      <c r="AY617" t="s">
        <v>74</v>
      </c>
      <c r="AZ617" t="s">
        <v>74</v>
      </c>
      <c r="BA617" t="s">
        <v>74</v>
      </c>
      <c r="BB617" t="s">
        <v>74</v>
      </c>
      <c r="BC617" t="s">
        <v>74</v>
      </c>
      <c r="BD617" t="s">
        <v>9759</v>
      </c>
      <c r="BE617" t="s">
        <v>9760</v>
      </c>
      <c r="BF617" t="str">
        <f>HYPERLINK("http://dx.doi.org/10.1029/2006GL027001","http://dx.doi.org/10.1029/2006GL027001")</f>
        <v>http://dx.doi.org/10.1029/2006GL027001</v>
      </c>
      <c r="BG617" t="s">
        <v>74</v>
      </c>
      <c r="BH617" t="s">
        <v>74</v>
      </c>
      <c r="BI617">
        <v>6</v>
      </c>
      <c r="BJ617" t="s">
        <v>685</v>
      </c>
      <c r="BK617" t="s">
        <v>97</v>
      </c>
      <c r="BL617" t="s">
        <v>642</v>
      </c>
      <c r="BM617" t="s">
        <v>9761</v>
      </c>
      <c r="BN617" t="s">
        <v>74</v>
      </c>
      <c r="BO617" t="s">
        <v>74</v>
      </c>
      <c r="BP617" t="s">
        <v>74</v>
      </c>
      <c r="BQ617" t="s">
        <v>74</v>
      </c>
      <c r="BR617" t="s">
        <v>100</v>
      </c>
      <c r="BS617" t="s">
        <v>9762</v>
      </c>
      <c r="BT617" t="str">
        <f>HYPERLINK("https%3A%2F%2Fwww.webofscience.com%2Fwos%2Fwoscc%2Ffull-record%2FWOS:000242175300001","View Full Record in Web of Science")</f>
        <v>View Full Record in Web of Science</v>
      </c>
    </row>
    <row r="618" spans="1:72" x14ac:dyDescent="0.15">
      <c r="A618" t="s">
        <v>72</v>
      </c>
      <c r="B618" t="s">
        <v>9763</v>
      </c>
      <c r="C618" t="s">
        <v>74</v>
      </c>
      <c r="D618" t="s">
        <v>74</v>
      </c>
      <c r="E618" t="s">
        <v>74</v>
      </c>
      <c r="F618" t="s">
        <v>9764</v>
      </c>
      <c r="G618" t="s">
        <v>74</v>
      </c>
      <c r="H618" t="s">
        <v>74</v>
      </c>
      <c r="I618" t="s">
        <v>9765</v>
      </c>
      <c r="J618" t="s">
        <v>9766</v>
      </c>
      <c r="K618" t="s">
        <v>74</v>
      </c>
      <c r="L618" t="s">
        <v>74</v>
      </c>
      <c r="M618" t="s">
        <v>78</v>
      </c>
      <c r="N618" t="s">
        <v>79</v>
      </c>
      <c r="O618" t="s">
        <v>74</v>
      </c>
      <c r="P618" t="s">
        <v>74</v>
      </c>
      <c r="Q618" t="s">
        <v>74</v>
      </c>
      <c r="R618" t="s">
        <v>74</v>
      </c>
      <c r="S618" t="s">
        <v>74</v>
      </c>
      <c r="T618" t="s">
        <v>74</v>
      </c>
      <c r="U618" t="s">
        <v>9767</v>
      </c>
      <c r="V618" t="s">
        <v>9768</v>
      </c>
      <c r="W618" t="s">
        <v>9769</v>
      </c>
      <c r="X618" t="s">
        <v>9770</v>
      </c>
      <c r="Y618" t="s">
        <v>9771</v>
      </c>
      <c r="Z618" t="s">
        <v>9772</v>
      </c>
      <c r="AA618" t="s">
        <v>9773</v>
      </c>
      <c r="AB618" t="s">
        <v>9774</v>
      </c>
      <c r="AC618" t="s">
        <v>74</v>
      </c>
      <c r="AD618" t="s">
        <v>74</v>
      </c>
      <c r="AE618" t="s">
        <v>74</v>
      </c>
      <c r="AF618" t="s">
        <v>74</v>
      </c>
      <c r="AG618">
        <v>49</v>
      </c>
      <c r="AH618">
        <v>28</v>
      </c>
      <c r="AI618">
        <v>29</v>
      </c>
      <c r="AJ618">
        <v>0</v>
      </c>
      <c r="AK618">
        <v>7</v>
      </c>
      <c r="AL618" t="s">
        <v>7239</v>
      </c>
      <c r="AM618" t="s">
        <v>5498</v>
      </c>
      <c r="AN618" t="s">
        <v>7240</v>
      </c>
      <c r="AO618" t="s">
        <v>9775</v>
      </c>
      <c r="AP618" t="s">
        <v>9776</v>
      </c>
      <c r="AQ618" t="s">
        <v>74</v>
      </c>
      <c r="AR618" t="s">
        <v>9777</v>
      </c>
      <c r="AS618" t="s">
        <v>9778</v>
      </c>
      <c r="AT618" t="s">
        <v>9758</v>
      </c>
      <c r="AU618">
        <v>2006</v>
      </c>
      <c r="AV618">
        <v>20</v>
      </c>
      <c r="AW618">
        <v>4</v>
      </c>
      <c r="AX618" t="s">
        <v>74</v>
      </c>
      <c r="AY618" t="s">
        <v>74</v>
      </c>
      <c r="AZ618" t="s">
        <v>74</v>
      </c>
      <c r="BA618" t="s">
        <v>74</v>
      </c>
      <c r="BB618" t="s">
        <v>74</v>
      </c>
      <c r="BC618" t="s">
        <v>74</v>
      </c>
      <c r="BD618" t="s">
        <v>9779</v>
      </c>
      <c r="BE618" t="s">
        <v>9780</v>
      </c>
      <c r="BF618" t="str">
        <f>HYPERLINK("http://dx.doi.org/10.1029/2005GB002620","http://dx.doi.org/10.1029/2005GB002620")</f>
        <v>http://dx.doi.org/10.1029/2005GB002620</v>
      </c>
      <c r="BG618" t="s">
        <v>74</v>
      </c>
      <c r="BH618" t="s">
        <v>74</v>
      </c>
      <c r="BI618">
        <v>11</v>
      </c>
      <c r="BJ618" t="s">
        <v>9781</v>
      </c>
      <c r="BK618" t="s">
        <v>97</v>
      </c>
      <c r="BL618" t="s">
        <v>9782</v>
      </c>
      <c r="BM618" t="s">
        <v>9783</v>
      </c>
      <c r="BN618" t="s">
        <v>74</v>
      </c>
      <c r="BO618" t="s">
        <v>1314</v>
      </c>
      <c r="BP618" t="s">
        <v>74</v>
      </c>
      <c r="BQ618" t="s">
        <v>74</v>
      </c>
      <c r="BR618" t="s">
        <v>100</v>
      </c>
      <c r="BS618" t="s">
        <v>9784</v>
      </c>
      <c r="BT618" t="str">
        <f>HYPERLINK("https%3A%2F%2Fwww.webofscience.com%2Fwos%2Fwoscc%2Ffull-record%2FWOS:000242175700001","View Full Record in Web of Science")</f>
        <v>View Full Record in Web of Science</v>
      </c>
    </row>
    <row r="619" spans="1:72" x14ac:dyDescent="0.15">
      <c r="A619" t="s">
        <v>72</v>
      </c>
      <c r="B619" t="s">
        <v>9785</v>
      </c>
      <c r="C619" t="s">
        <v>74</v>
      </c>
      <c r="D619" t="s">
        <v>74</v>
      </c>
      <c r="E619" t="s">
        <v>74</v>
      </c>
      <c r="F619" t="s">
        <v>9786</v>
      </c>
      <c r="G619" t="s">
        <v>74</v>
      </c>
      <c r="H619" t="s">
        <v>74</v>
      </c>
      <c r="I619" t="s">
        <v>9787</v>
      </c>
      <c r="J619" t="s">
        <v>9788</v>
      </c>
      <c r="K619" t="s">
        <v>74</v>
      </c>
      <c r="L619" t="s">
        <v>74</v>
      </c>
      <c r="M619" t="s">
        <v>78</v>
      </c>
      <c r="N619" t="s">
        <v>79</v>
      </c>
      <c r="O619" t="s">
        <v>74</v>
      </c>
      <c r="P619" t="s">
        <v>74</v>
      </c>
      <c r="Q619" t="s">
        <v>74</v>
      </c>
      <c r="R619" t="s">
        <v>74</v>
      </c>
      <c r="S619" t="s">
        <v>74</v>
      </c>
      <c r="T619" t="s">
        <v>74</v>
      </c>
      <c r="U619" t="s">
        <v>9789</v>
      </c>
      <c r="V619" t="s">
        <v>9790</v>
      </c>
      <c r="W619" t="s">
        <v>9791</v>
      </c>
      <c r="X619" t="s">
        <v>1393</v>
      </c>
      <c r="Y619" t="s">
        <v>9792</v>
      </c>
      <c r="Z619" t="s">
        <v>9793</v>
      </c>
      <c r="AA619" t="s">
        <v>9794</v>
      </c>
      <c r="AB619" t="s">
        <v>9795</v>
      </c>
      <c r="AC619" t="s">
        <v>74</v>
      </c>
      <c r="AD619" t="s">
        <v>74</v>
      </c>
      <c r="AE619" t="s">
        <v>74</v>
      </c>
      <c r="AF619" t="s">
        <v>74</v>
      </c>
      <c r="AG619">
        <v>19</v>
      </c>
      <c r="AH619">
        <v>3</v>
      </c>
      <c r="AI619">
        <v>4</v>
      </c>
      <c r="AJ619">
        <v>1</v>
      </c>
      <c r="AK619">
        <v>2</v>
      </c>
      <c r="AL619" t="s">
        <v>7239</v>
      </c>
      <c r="AM619" t="s">
        <v>5498</v>
      </c>
      <c r="AN619" t="s">
        <v>7240</v>
      </c>
      <c r="AO619" t="s">
        <v>9796</v>
      </c>
      <c r="AP619" t="s">
        <v>9797</v>
      </c>
      <c r="AQ619" t="s">
        <v>74</v>
      </c>
      <c r="AR619" t="s">
        <v>9798</v>
      </c>
      <c r="AS619" t="s">
        <v>9799</v>
      </c>
      <c r="AT619" t="s">
        <v>9758</v>
      </c>
      <c r="AU619">
        <v>2006</v>
      </c>
      <c r="AV619">
        <v>41</v>
      </c>
      <c r="AW619">
        <v>6</v>
      </c>
      <c r="AX619" t="s">
        <v>74</v>
      </c>
      <c r="AY619" t="s">
        <v>74</v>
      </c>
      <c r="AZ619" t="s">
        <v>74</v>
      </c>
      <c r="BA619" t="s">
        <v>74</v>
      </c>
      <c r="BB619" t="s">
        <v>74</v>
      </c>
      <c r="BC619" t="s">
        <v>74</v>
      </c>
      <c r="BD619" t="s">
        <v>9800</v>
      </c>
      <c r="BE619" t="s">
        <v>9801</v>
      </c>
      <c r="BF619" t="str">
        <f>HYPERLINK("http://dx.doi.org/10.1029/2005RS003298","http://dx.doi.org/10.1029/2005RS003298")</f>
        <v>http://dx.doi.org/10.1029/2005RS003298</v>
      </c>
      <c r="BG619" t="s">
        <v>74</v>
      </c>
      <c r="BH619" t="s">
        <v>74</v>
      </c>
      <c r="BI619">
        <v>11</v>
      </c>
      <c r="BJ619" t="s">
        <v>9802</v>
      </c>
      <c r="BK619" t="s">
        <v>97</v>
      </c>
      <c r="BL619" t="s">
        <v>9802</v>
      </c>
      <c r="BM619" t="s">
        <v>9803</v>
      </c>
      <c r="BN619" t="s">
        <v>74</v>
      </c>
      <c r="BO619" t="s">
        <v>124</v>
      </c>
      <c r="BP619" t="s">
        <v>74</v>
      </c>
      <c r="BQ619" t="s">
        <v>74</v>
      </c>
      <c r="BR619" t="s">
        <v>100</v>
      </c>
      <c r="BS619" t="s">
        <v>9804</v>
      </c>
      <c r="BT619" t="str">
        <f>HYPERLINK("https%3A%2F%2Fwww.webofscience.com%2Fwos%2Fwoscc%2Ffull-record%2FWOS:000242179800001","View Full Record in Web of Science")</f>
        <v>View Full Record in Web of Science</v>
      </c>
    </row>
    <row r="620" spans="1:72" x14ac:dyDescent="0.15">
      <c r="A620" t="s">
        <v>72</v>
      </c>
      <c r="B620" t="s">
        <v>9805</v>
      </c>
      <c r="C620" t="s">
        <v>74</v>
      </c>
      <c r="D620" t="s">
        <v>74</v>
      </c>
      <c r="E620" t="s">
        <v>74</v>
      </c>
      <c r="F620" t="s">
        <v>9806</v>
      </c>
      <c r="G620" t="s">
        <v>74</v>
      </c>
      <c r="H620" t="s">
        <v>74</v>
      </c>
      <c r="I620" t="s">
        <v>9807</v>
      </c>
      <c r="J620" t="s">
        <v>7781</v>
      </c>
      <c r="K620" t="s">
        <v>74</v>
      </c>
      <c r="L620" t="s">
        <v>74</v>
      </c>
      <c r="M620" t="s">
        <v>78</v>
      </c>
      <c r="N620" t="s">
        <v>79</v>
      </c>
      <c r="O620" t="s">
        <v>74</v>
      </c>
      <c r="P620" t="s">
        <v>74</v>
      </c>
      <c r="Q620" t="s">
        <v>74</v>
      </c>
      <c r="R620" t="s">
        <v>74</v>
      </c>
      <c r="S620" t="s">
        <v>74</v>
      </c>
      <c r="T620" t="s">
        <v>9808</v>
      </c>
      <c r="U620" t="s">
        <v>9809</v>
      </c>
      <c r="V620" t="s">
        <v>9810</v>
      </c>
      <c r="W620" t="s">
        <v>9811</v>
      </c>
      <c r="X620" t="s">
        <v>9812</v>
      </c>
      <c r="Y620" t="s">
        <v>9813</v>
      </c>
      <c r="Z620" t="s">
        <v>9814</v>
      </c>
      <c r="AA620" t="s">
        <v>8263</v>
      </c>
      <c r="AB620" t="s">
        <v>8264</v>
      </c>
      <c r="AC620" t="s">
        <v>74</v>
      </c>
      <c r="AD620" t="s">
        <v>74</v>
      </c>
      <c r="AE620" t="s">
        <v>74</v>
      </c>
      <c r="AF620" t="s">
        <v>74</v>
      </c>
      <c r="AG620">
        <v>34</v>
      </c>
      <c r="AH620">
        <v>54</v>
      </c>
      <c r="AI620">
        <v>66</v>
      </c>
      <c r="AJ620">
        <v>2</v>
      </c>
      <c r="AK620">
        <v>37</v>
      </c>
      <c r="AL620" t="s">
        <v>2829</v>
      </c>
      <c r="AM620" t="s">
        <v>903</v>
      </c>
      <c r="AN620" t="s">
        <v>2830</v>
      </c>
      <c r="AO620" t="s">
        <v>7791</v>
      </c>
      <c r="AP620" t="s">
        <v>7792</v>
      </c>
      <c r="AQ620" t="s">
        <v>74</v>
      </c>
      <c r="AR620" t="s">
        <v>7781</v>
      </c>
      <c r="AS620" t="s">
        <v>7793</v>
      </c>
      <c r="AT620" t="s">
        <v>9815</v>
      </c>
      <c r="AU620">
        <v>2006</v>
      </c>
      <c r="AV620">
        <v>261</v>
      </c>
      <c r="AW620">
        <v>1</v>
      </c>
      <c r="AX620" t="s">
        <v>74</v>
      </c>
      <c r="AY620" t="s">
        <v>74</v>
      </c>
      <c r="AZ620" t="s">
        <v>74</v>
      </c>
      <c r="BA620" t="s">
        <v>74</v>
      </c>
      <c r="BB620">
        <v>174</v>
      </c>
      <c r="BC620">
        <v>181</v>
      </c>
      <c r="BD620" t="s">
        <v>74</v>
      </c>
      <c r="BE620" t="s">
        <v>9816</v>
      </c>
      <c r="BF620" t="str">
        <f>HYPERLINK("http://dx.doi.org/10.1016/j.aquaculture.2006.06.022","http://dx.doi.org/10.1016/j.aquaculture.2006.06.022")</f>
        <v>http://dx.doi.org/10.1016/j.aquaculture.2006.06.022</v>
      </c>
      <c r="BG620" t="s">
        <v>74</v>
      </c>
      <c r="BH620" t="s">
        <v>74</v>
      </c>
      <c r="BI620">
        <v>8</v>
      </c>
      <c r="BJ620" t="s">
        <v>7796</v>
      </c>
      <c r="BK620" t="s">
        <v>97</v>
      </c>
      <c r="BL620" t="s">
        <v>7796</v>
      </c>
      <c r="BM620" t="s">
        <v>9817</v>
      </c>
      <c r="BN620" t="s">
        <v>74</v>
      </c>
      <c r="BO620" t="s">
        <v>74</v>
      </c>
      <c r="BP620" t="s">
        <v>74</v>
      </c>
      <c r="BQ620" t="s">
        <v>74</v>
      </c>
      <c r="BR620" t="s">
        <v>100</v>
      </c>
      <c r="BS620" t="s">
        <v>9818</v>
      </c>
      <c r="BT620" t="str">
        <f>HYPERLINK("https%3A%2F%2Fwww.webofscience.com%2Fwos%2Fwoscc%2Ffull-record%2FWOS:000242738100019","View Full Record in Web of Science")</f>
        <v>View Full Record in Web of Science</v>
      </c>
    </row>
    <row r="621" spans="1:72" x14ac:dyDescent="0.15">
      <c r="A621" t="s">
        <v>72</v>
      </c>
      <c r="B621" t="s">
        <v>9819</v>
      </c>
      <c r="C621" t="s">
        <v>74</v>
      </c>
      <c r="D621" t="s">
        <v>74</v>
      </c>
      <c r="E621" t="s">
        <v>74</v>
      </c>
      <c r="F621" t="s">
        <v>9820</v>
      </c>
      <c r="G621" t="s">
        <v>74</v>
      </c>
      <c r="H621" t="s">
        <v>74</v>
      </c>
      <c r="I621" t="s">
        <v>9821</v>
      </c>
      <c r="J621" t="s">
        <v>7781</v>
      </c>
      <c r="K621" t="s">
        <v>74</v>
      </c>
      <c r="L621" t="s">
        <v>74</v>
      </c>
      <c r="M621" t="s">
        <v>78</v>
      </c>
      <c r="N621" t="s">
        <v>79</v>
      </c>
      <c r="O621" t="s">
        <v>74</v>
      </c>
      <c r="P621" t="s">
        <v>74</v>
      </c>
      <c r="Q621" t="s">
        <v>74</v>
      </c>
      <c r="R621" t="s">
        <v>74</v>
      </c>
      <c r="S621" t="s">
        <v>74</v>
      </c>
      <c r="T621" t="s">
        <v>9822</v>
      </c>
      <c r="U621" t="s">
        <v>9823</v>
      </c>
      <c r="V621" t="s">
        <v>9824</v>
      </c>
      <c r="W621" t="s">
        <v>9825</v>
      </c>
      <c r="X621" t="s">
        <v>9826</v>
      </c>
      <c r="Y621" t="s">
        <v>9827</v>
      </c>
      <c r="Z621" t="s">
        <v>9828</v>
      </c>
      <c r="AA621" t="s">
        <v>74</v>
      </c>
      <c r="AB621" t="s">
        <v>74</v>
      </c>
      <c r="AC621" t="s">
        <v>74</v>
      </c>
      <c r="AD621" t="s">
        <v>74</v>
      </c>
      <c r="AE621" t="s">
        <v>74</v>
      </c>
      <c r="AF621" t="s">
        <v>74</v>
      </c>
      <c r="AG621">
        <v>27</v>
      </c>
      <c r="AH621">
        <v>52</v>
      </c>
      <c r="AI621">
        <v>78</v>
      </c>
      <c r="AJ621">
        <v>3</v>
      </c>
      <c r="AK621">
        <v>27</v>
      </c>
      <c r="AL621" t="s">
        <v>2829</v>
      </c>
      <c r="AM621" t="s">
        <v>903</v>
      </c>
      <c r="AN621" t="s">
        <v>2830</v>
      </c>
      <c r="AO621" t="s">
        <v>7791</v>
      </c>
      <c r="AP621" t="s">
        <v>7792</v>
      </c>
      <c r="AQ621" t="s">
        <v>74</v>
      </c>
      <c r="AR621" t="s">
        <v>7781</v>
      </c>
      <c r="AS621" t="s">
        <v>7793</v>
      </c>
      <c r="AT621" t="s">
        <v>9815</v>
      </c>
      <c r="AU621">
        <v>2006</v>
      </c>
      <c r="AV621">
        <v>261</v>
      </c>
      <c r="AW621">
        <v>1</v>
      </c>
      <c r="AX621" t="s">
        <v>74</v>
      </c>
      <c r="AY621" t="s">
        <v>74</v>
      </c>
      <c r="AZ621" t="s">
        <v>74</v>
      </c>
      <c r="BA621" t="s">
        <v>74</v>
      </c>
      <c r="BB621">
        <v>440</v>
      </c>
      <c r="BC621">
        <v>446</v>
      </c>
      <c r="BD621" t="s">
        <v>74</v>
      </c>
      <c r="BE621" t="s">
        <v>9829</v>
      </c>
      <c r="BF621" t="str">
        <f>HYPERLINK("http://dx.doi.org/10.1016/j.aquaculture.2006.06.036","http://dx.doi.org/10.1016/j.aquaculture.2006.06.036")</f>
        <v>http://dx.doi.org/10.1016/j.aquaculture.2006.06.036</v>
      </c>
      <c r="BG621" t="s">
        <v>74</v>
      </c>
      <c r="BH621" t="s">
        <v>74</v>
      </c>
      <c r="BI621">
        <v>7</v>
      </c>
      <c r="BJ621" t="s">
        <v>7796</v>
      </c>
      <c r="BK621" t="s">
        <v>97</v>
      </c>
      <c r="BL621" t="s">
        <v>7796</v>
      </c>
      <c r="BM621" t="s">
        <v>9817</v>
      </c>
      <c r="BN621" t="s">
        <v>74</v>
      </c>
      <c r="BO621" t="s">
        <v>74</v>
      </c>
      <c r="BP621" t="s">
        <v>74</v>
      </c>
      <c r="BQ621" t="s">
        <v>74</v>
      </c>
      <c r="BR621" t="s">
        <v>100</v>
      </c>
      <c r="BS621" t="s">
        <v>9830</v>
      </c>
      <c r="BT621" t="str">
        <f>HYPERLINK("https%3A%2F%2Fwww.webofscience.com%2Fwos%2Fwoscc%2Ffull-record%2FWOS:000242738100042","View Full Record in Web of Science")</f>
        <v>View Full Record in Web of Science</v>
      </c>
    </row>
    <row r="622" spans="1:72" x14ac:dyDescent="0.15">
      <c r="A622" t="s">
        <v>72</v>
      </c>
      <c r="B622" t="s">
        <v>9831</v>
      </c>
      <c r="C622" t="s">
        <v>74</v>
      </c>
      <c r="D622" t="s">
        <v>74</v>
      </c>
      <c r="E622" t="s">
        <v>74</v>
      </c>
      <c r="F622" t="s">
        <v>9832</v>
      </c>
      <c r="G622" t="s">
        <v>74</v>
      </c>
      <c r="H622" t="s">
        <v>74</v>
      </c>
      <c r="I622" t="s">
        <v>9833</v>
      </c>
      <c r="J622" t="s">
        <v>7439</v>
      </c>
      <c r="K622" t="s">
        <v>74</v>
      </c>
      <c r="L622" t="s">
        <v>74</v>
      </c>
      <c r="M622" t="s">
        <v>78</v>
      </c>
      <c r="N622" t="s">
        <v>79</v>
      </c>
      <c r="O622" t="s">
        <v>74</v>
      </c>
      <c r="P622" t="s">
        <v>74</v>
      </c>
      <c r="Q622" t="s">
        <v>74</v>
      </c>
      <c r="R622" t="s">
        <v>74</v>
      </c>
      <c r="S622" t="s">
        <v>74</v>
      </c>
      <c r="T622" t="s">
        <v>74</v>
      </c>
      <c r="U622" t="s">
        <v>9834</v>
      </c>
      <c r="V622" t="s">
        <v>9835</v>
      </c>
      <c r="W622" t="s">
        <v>9836</v>
      </c>
      <c r="X622" t="s">
        <v>9837</v>
      </c>
      <c r="Y622" t="s">
        <v>9838</v>
      </c>
      <c r="Z622" t="s">
        <v>9839</v>
      </c>
      <c r="AA622" t="s">
        <v>9840</v>
      </c>
      <c r="AB622" t="s">
        <v>9841</v>
      </c>
      <c r="AC622" t="s">
        <v>74</v>
      </c>
      <c r="AD622" t="s">
        <v>74</v>
      </c>
      <c r="AE622" t="s">
        <v>74</v>
      </c>
      <c r="AF622" t="s">
        <v>74</v>
      </c>
      <c r="AG622">
        <v>32</v>
      </c>
      <c r="AH622">
        <v>98</v>
      </c>
      <c r="AI622">
        <v>104</v>
      </c>
      <c r="AJ622">
        <v>0</v>
      </c>
      <c r="AK622">
        <v>30</v>
      </c>
      <c r="AL622" t="s">
        <v>7239</v>
      </c>
      <c r="AM622" t="s">
        <v>5498</v>
      </c>
      <c r="AN622" t="s">
        <v>7240</v>
      </c>
      <c r="AO622" t="s">
        <v>7448</v>
      </c>
      <c r="AP622" t="s">
        <v>7449</v>
      </c>
      <c r="AQ622" t="s">
        <v>74</v>
      </c>
      <c r="AR622" t="s">
        <v>7450</v>
      </c>
      <c r="AS622" t="s">
        <v>7451</v>
      </c>
      <c r="AT622" t="s">
        <v>9815</v>
      </c>
      <c r="AU622">
        <v>2006</v>
      </c>
      <c r="AV622">
        <v>111</v>
      </c>
      <c r="AW622" t="s">
        <v>9644</v>
      </c>
      <c r="AX622" t="s">
        <v>74</v>
      </c>
      <c r="AY622" t="s">
        <v>74</v>
      </c>
      <c r="AZ622" t="s">
        <v>74</v>
      </c>
      <c r="BA622" t="s">
        <v>74</v>
      </c>
      <c r="BB622" t="s">
        <v>74</v>
      </c>
      <c r="BC622" t="s">
        <v>74</v>
      </c>
      <c r="BD622" t="s">
        <v>9842</v>
      </c>
      <c r="BE622" t="s">
        <v>9843</v>
      </c>
      <c r="BF622" t="str">
        <f>HYPERLINK("http://dx.doi.org/10.1029/2006JD007289","http://dx.doi.org/10.1029/2006JD007289")</f>
        <v>http://dx.doi.org/10.1029/2006JD007289</v>
      </c>
      <c r="BG622" t="s">
        <v>74</v>
      </c>
      <c r="BH622" t="s">
        <v>74</v>
      </c>
      <c r="BI622">
        <v>9</v>
      </c>
      <c r="BJ622" t="s">
        <v>3208</v>
      </c>
      <c r="BK622" t="s">
        <v>97</v>
      </c>
      <c r="BL622" t="s">
        <v>3208</v>
      </c>
      <c r="BM622" t="s">
        <v>9844</v>
      </c>
      <c r="BN622" t="s">
        <v>74</v>
      </c>
      <c r="BO622" t="s">
        <v>7472</v>
      </c>
      <c r="BP622" t="s">
        <v>74</v>
      </c>
      <c r="BQ622" t="s">
        <v>74</v>
      </c>
      <c r="BR622" t="s">
        <v>100</v>
      </c>
      <c r="BS622" t="s">
        <v>9845</v>
      </c>
      <c r="BT622" t="str">
        <f>HYPERLINK("https%3A%2F%2Fwww.webofscience.com%2Fwos%2Fwoscc%2Ffull-record%2FWOS:000242176100006","View Full Record in Web of Science")</f>
        <v>View Full Record in Web of Science</v>
      </c>
    </row>
    <row r="623" spans="1:72" x14ac:dyDescent="0.15">
      <c r="A623" t="s">
        <v>72</v>
      </c>
      <c r="B623" t="s">
        <v>9846</v>
      </c>
      <c r="C623" t="s">
        <v>74</v>
      </c>
      <c r="D623" t="s">
        <v>74</v>
      </c>
      <c r="E623" t="s">
        <v>74</v>
      </c>
      <c r="F623" t="s">
        <v>9847</v>
      </c>
      <c r="G623" t="s">
        <v>74</v>
      </c>
      <c r="H623" t="s">
        <v>74</v>
      </c>
      <c r="I623" t="s">
        <v>9848</v>
      </c>
      <c r="J623" t="s">
        <v>7439</v>
      </c>
      <c r="K623" t="s">
        <v>74</v>
      </c>
      <c r="L623" t="s">
        <v>74</v>
      </c>
      <c r="M623" t="s">
        <v>78</v>
      </c>
      <c r="N623" t="s">
        <v>79</v>
      </c>
      <c r="O623" t="s">
        <v>74</v>
      </c>
      <c r="P623" t="s">
        <v>74</v>
      </c>
      <c r="Q623" t="s">
        <v>74</v>
      </c>
      <c r="R623" t="s">
        <v>74</v>
      </c>
      <c r="S623" t="s">
        <v>74</v>
      </c>
      <c r="T623" t="s">
        <v>74</v>
      </c>
      <c r="U623" t="s">
        <v>9849</v>
      </c>
      <c r="V623" t="s">
        <v>9850</v>
      </c>
      <c r="W623" t="s">
        <v>9851</v>
      </c>
      <c r="X623" t="s">
        <v>776</v>
      </c>
      <c r="Y623" t="s">
        <v>9852</v>
      </c>
      <c r="Z623" t="s">
        <v>9853</v>
      </c>
      <c r="AA623" t="s">
        <v>9854</v>
      </c>
      <c r="AB623" t="s">
        <v>9855</v>
      </c>
      <c r="AC623" t="s">
        <v>74</v>
      </c>
      <c r="AD623" t="s">
        <v>74</v>
      </c>
      <c r="AE623" t="s">
        <v>74</v>
      </c>
      <c r="AF623" t="s">
        <v>74</v>
      </c>
      <c r="AG623">
        <v>34</v>
      </c>
      <c r="AH623">
        <v>12</v>
      </c>
      <c r="AI623">
        <v>16</v>
      </c>
      <c r="AJ623">
        <v>0</v>
      </c>
      <c r="AK623">
        <v>9</v>
      </c>
      <c r="AL623" t="s">
        <v>7239</v>
      </c>
      <c r="AM623" t="s">
        <v>5498</v>
      </c>
      <c r="AN623" t="s">
        <v>7240</v>
      </c>
      <c r="AO623" t="s">
        <v>7448</v>
      </c>
      <c r="AP623" t="s">
        <v>7449</v>
      </c>
      <c r="AQ623" t="s">
        <v>74</v>
      </c>
      <c r="AR623" t="s">
        <v>7450</v>
      </c>
      <c r="AS623" t="s">
        <v>7451</v>
      </c>
      <c r="AT623" t="s">
        <v>9815</v>
      </c>
      <c r="AU623">
        <v>2006</v>
      </c>
      <c r="AV623">
        <v>111</v>
      </c>
      <c r="AW623" t="s">
        <v>9644</v>
      </c>
      <c r="AX623" t="s">
        <v>74</v>
      </c>
      <c r="AY623" t="s">
        <v>74</v>
      </c>
      <c r="AZ623" t="s">
        <v>74</v>
      </c>
      <c r="BA623" t="s">
        <v>74</v>
      </c>
      <c r="BB623" t="s">
        <v>74</v>
      </c>
      <c r="BC623" t="s">
        <v>74</v>
      </c>
      <c r="BD623" t="s">
        <v>9856</v>
      </c>
      <c r="BE623" t="s">
        <v>9857</v>
      </c>
      <c r="BF623" t="str">
        <f>HYPERLINK("http://dx.doi.org/10.1029/2006JD007629","http://dx.doi.org/10.1029/2006JD007629")</f>
        <v>http://dx.doi.org/10.1029/2006JD007629</v>
      </c>
      <c r="BG623" t="s">
        <v>74</v>
      </c>
      <c r="BH623" t="s">
        <v>74</v>
      </c>
      <c r="BI623">
        <v>15</v>
      </c>
      <c r="BJ623" t="s">
        <v>3208</v>
      </c>
      <c r="BK623" t="s">
        <v>97</v>
      </c>
      <c r="BL623" t="s">
        <v>3208</v>
      </c>
      <c r="BM623" t="s">
        <v>9844</v>
      </c>
      <c r="BN623" t="s">
        <v>74</v>
      </c>
      <c r="BO623" t="s">
        <v>124</v>
      </c>
      <c r="BP623" t="s">
        <v>74</v>
      </c>
      <c r="BQ623" t="s">
        <v>74</v>
      </c>
      <c r="BR623" t="s">
        <v>100</v>
      </c>
      <c r="BS623" t="s">
        <v>9858</v>
      </c>
      <c r="BT623" t="str">
        <f>HYPERLINK("https%3A%2F%2Fwww.webofscience.com%2Fwos%2Fwoscc%2Ffull-record%2FWOS:000242176100007","View Full Record in Web of Science")</f>
        <v>View Full Record in Web of Science</v>
      </c>
    </row>
    <row r="624" spans="1:72" x14ac:dyDescent="0.15">
      <c r="A624" t="s">
        <v>72</v>
      </c>
      <c r="B624" t="s">
        <v>9859</v>
      </c>
      <c r="C624" t="s">
        <v>74</v>
      </c>
      <c r="D624" t="s">
        <v>74</v>
      </c>
      <c r="E624" t="s">
        <v>74</v>
      </c>
      <c r="F624" t="s">
        <v>9860</v>
      </c>
      <c r="G624" t="s">
        <v>74</v>
      </c>
      <c r="H624" t="s">
        <v>74</v>
      </c>
      <c r="I624" t="s">
        <v>9861</v>
      </c>
      <c r="J624" t="s">
        <v>8993</v>
      </c>
      <c r="K624" t="s">
        <v>74</v>
      </c>
      <c r="L624" t="s">
        <v>74</v>
      </c>
      <c r="M624" t="s">
        <v>78</v>
      </c>
      <c r="N624" t="s">
        <v>79</v>
      </c>
      <c r="O624" t="s">
        <v>74</v>
      </c>
      <c r="P624" t="s">
        <v>74</v>
      </c>
      <c r="Q624" t="s">
        <v>74</v>
      </c>
      <c r="R624" t="s">
        <v>74</v>
      </c>
      <c r="S624" t="s">
        <v>74</v>
      </c>
      <c r="T624" t="s">
        <v>74</v>
      </c>
      <c r="U624" t="s">
        <v>9862</v>
      </c>
      <c r="V624" t="s">
        <v>9863</v>
      </c>
      <c r="W624" t="s">
        <v>9864</v>
      </c>
      <c r="X624" t="s">
        <v>9865</v>
      </c>
      <c r="Y624" t="s">
        <v>5147</v>
      </c>
      <c r="Z624" t="s">
        <v>9866</v>
      </c>
      <c r="AA624" t="s">
        <v>9867</v>
      </c>
      <c r="AB624" t="s">
        <v>9868</v>
      </c>
      <c r="AC624" t="s">
        <v>5423</v>
      </c>
      <c r="AD624" t="s">
        <v>1254</v>
      </c>
      <c r="AE624" t="s">
        <v>74</v>
      </c>
      <c r="AF624" t="s">
        <v>74</v>
      </c>
      <c r="AG624">
        <v>21</v>
      </c>
      <c r="AH624">
        <v>13</v>
      </c>
      <c r="AI624">
        <v>14</v>
      </c>
      <c r="AJ624">
        <v>0</v>
      </c>
      <c r="AK624">
        <v>2</v>
      </c>
      <c r="AL624" t="s">
        <v>7239</v>
      </c>
      <c r="AM624" t="s">
        <v>5498</v>
      </c>
      <c r="AN624" t="s">
        <v>7240</v>
      </c>
      <c r="AO624" t="s">
        <v>9003</v>
      </c>
      <c r="AP624" t="s">
        <v>9004</v>
      </c>
      <c r="AQ624" t="s">
        <v>74</v>
      </c>
      <c r="AR624" t="s">
        <v>9005</v>
      </c>
      <c r="AS624" t="s">
        <v>9006</v>
      </c>
      <c r="AT624" t="s">
        <v>9815</v>
      </c>
      <c r="AU624">
        <v>2006</v>
      </c>
      <c r="AV624">
        <v>111</v>
      </c>
      <c r="AW624" t="s">
        <v>9869</v>
      </c>
      <c r="AX624" t="s">
        <v>74</v>
      </c>
      <c r="AY624" t="s">
        <v>74</v>
      </c>
      <c r="AZ624" t="s">
        <v>74</v>
      </c>
      <c r="BA624" t="s">
        <v>74</v>
      </c>
      <c r="BB624" t="s">
        <v>74</v>
      </c>
      <c r="BC624" t="s">
        <v>74</v>
      </c>
      <c r="BD624" t="s">
        <v>9870</v>
      </c>
      <c r="BE624" t="s">
        <v>9871</v>
      </c>
      <c r="BF624" t="str">
        <f>HYPERLINK("http://dx.doi.org/10.1029/2006JA011860","http://dx.doi.org/10.1029/2006JA011860")</f>
        <v>http://dx.doi.org/10.1029/2006JA011860</v>
      </c>
      <c r="BG624" t="s">
        <v>74</v>
      </c>
      <c r="BH624" t="s">
        <v>74</v>
      </c>
      <c r="BI624">
        <v>8</v>
      </c>
      <c r="BJ624" t="s">
        <v>801</v>
      </c>
      <c r="BK624" t="s">
        <v>97</v>
      </c>
      <c r="BL624" t="s">
        <v>801</v>
      </c>
      <c r="BM624" t="s">
        <v>9872</v>
      </c>
      <c r="BN624" t="s">
        <v>74</v>
      </c>
      <c r="BO624" t="s">
        <v>124</v>
      </c>
      <c r="BP624" t="s">
        <v>74</v>
      </c>
      <c r="BQ624" t="s">
        <v>74</v>
      </c>
      <c r="BR624" t="s">
        <v>100</v>
      </c>
      <c r="BS624" t="s">
        <v>9873</v>
      </c>
      <c r="BT624" t="str">
        <f>HYPERLINK("https%3A%2F%2Fwww.webofscience.com%2Fwos%2Fwoscc%2Ffull-record%2FWOS:000242179200009","View Full Record in Web of Science")</f>
        <v>View Full Record in Web of Science</v>
      </c>
    </row>
    <row r="625" spans="1:72" x14ac:dyDescent="0.15">
      <c r="A625" t="s">
        <v>72</v>
      </c>
      <c r="B625" t="s">
        <v>9874</v>
      </c>
      <c r="C625" t="s">
        <v>74</v>
      </c>
      <c r="D625" t="s">
        <v>74</v>
      </c>
      <c r="E625" t="s">
        <v>74</v>
      </c>
      <c r="F625" t="s">
        <v>9875</v>
      </c>
      <c r="G625" t="s">
        <v>74</v>
      </c>
      <c r="H625" t="s">
        <v>74</v>
      </c>
      <c r="I625" t="s">
        <v>9876</v>
      </c>
      <c r="J625" t="s">
        <v>9877</v>
      </c>
      <c r="K625" t="s">
        <v>74</v>
      </c>
      <c r="L625" t="s">
        <v>74</v>
      </c>
      <c r="M625" t="s">
        <v>78</v>
      </c>
      <c r="N625" t="s">
        <v>79</v>
      </c>
      <c r="O625" t="s">
        <v>74</v>
      </c>
      <c r="P625" t="s">
        <v>74</v>
      </c>
      <c r="Q625" t="s">
        <v>74</v>
      </c>
      <c r="R625" t="s">
        <v>74</v>
      </c>
      <c r="S625" t="s">
        <v>74</v>
      </c>
      <c r="T625" t="s">
        <v>9878</v>
      </c>
      <c r="U625" t="s">
        <v>9879</v>
      </c>
      <c r="V625" t="s">
        <v>9880</v>
      </c>
      <c r="W625" t="s">
        <v>9881</v>
      </c>
      <c r="X625" t="s">
        <v>9882</v>
      </c>
      <c r="Y625" t="s">
        <v>9883</v>
      </c>
      <c r="Z625" t="s">
        <v>9624</v>
      </c>
      <c r="AA625" t="s">
        <v>9884</v>
      </c>
      <c r="AB625" t="s">
        <v>9885</v>
      </c>
      <c r="AC625" t="s">
        <v>74</v>
      </c>
      <c r="AD625" t="s">
        <v>74</v>
      </c>
      <c r="AE625" t="s">
        <v>74</v>
      </c>
      <c r="AF625" t="s">
        <v>74</v>
      </c>
      <c r="AG625">
        <v>24</v>
      </c>
      <c r="AH625">
        <v>5</v>
      </c>
      <c r="AI625">
        <v>7</v>
      </c>
      <c r="AJ625">
        <v>1</v>
      </c>
      <c r="AK625">
        <v>6</v>
      </c>
      <c r="AL625" t="s">
        <v>902</v>
      </c>
      <c r="AM625" t="s">
        <v>903</v>
      </c>
      <c r="AN625" t="s">
        <v>5098</v>
      </c>
      <c r="AO625" t="s">
        <v>9886</v>
      </c>
      <c r="AP625" t="s">
        <v>74</v>
      </c>
      <c r="AQ625" t="s">
        <v>74</v>
      </c>
      <c r="AR625" t="s">
        <v>9887</v>
      </c>
      <c r="AS625" t="s">
        <v>9888</v>
      </c>
      <c r="AT625" t="s">
        <v>9889</v>
      </c>
      <c r="AU625">
        <v>2006</v>
      </c>
      <c r="AV625">
        <v>39</v>
      </c>
      <c r="AW625" t="s">
        <v>9890</v>
      </c>
      <c r="AX625" t="s">
        <v>74</v>
      </c>
      <c r="AY625" t="s">
        <v>74</v>
      </c>
      <c r="AZ625" t="s">
        <v>74</v>
      </c>
      <c r="BA625" t="s">
        <v>74</v>
      </c>
      <c r="BB625">
        <v>159</v>
      </c>
      <c r="BC625">
        <v>164</v>
      </c>
      <c r="BD625" t="s">
        <v>74</v>
      </c>
      <c r="BE625" t="s">
        <v>9891</v>
      </c>
      <c r="BF625" t="str">
        <f>HYPERLINK("http://dx.doi.org/10.1016/j.ijbiomac.2005.10.006","http://dx.doi.org/10.1016/j.ijbiomac.2005.10.006")</f>
        <v>http://dx.doi.org/10.1016/j.ijbiomac.2005.10.006</v>
      </c>
      <c r="BG625" t="s">
        <v>74</v>
      </c>
      <c r="BH625" t="s">
        <v>74</v>
      </c>
      <c r="BI625">
        <v>6</v>
      </c>
      <c r="BJ625" t="s">
        <v>9892</v>
      </c>
      <c r="BK625" t="s">
        <v>97</v>
      </c>
      <c r="BL625" t="s">
        <v>9893</v>
      </c>
      <c r="BM625" t="s">
        <v>9894</v>
      </c>
      <c r="BN625">
        <v>16815543</v>
      </c>
      <c r="BO625" t="s">
        <v>74</v>
      </c>
      <c r="BP625" t="s">
        <v>74</v>
      </c>
      <c r="BQ625" t="s">
        <v>74</v>
      </c>
      <c r="BR625" t="s">
        <v>100</v>
      </c>
      <c r="BS625" t="s">
        <v>9895</v>
      </c>
      <c r="BT625" t="str">
        <f>HYPERLINK("https%3A%2F%2Fwww.webofscience.com%2Fwos%2Fwoscc%2Ffull-record%2FWOS:000242525200001","View Full Record in Web of Science")</f>
        <v>View Full Record in Web of Science</v>
      </c>
    </row>
    <row r="626" spans="1:72" x14ac:dyDescent="0.15">
      <c r="A626" t="s">
        <v>72</v>
      </c>
      <c r="B626" t="s">
        <v>9896</v>
      </c>
      <c r="C626" t="s">
        <v>74</v>
      </c>
      <c r="D626" t="s">
        <v>74</v>
      </c>
      <c r="E626" t="s">
        <v>74</v>
      </c>
      <c r="F626" t="s">
        <v>9897</v>
      </c>
      <c r="G626" t="s">
        <v>74</v>
      </c>
      <c r="H626" t="s">
        <v>74</v>
      </c>
      <c r="I626" t="s">
        <v>9898</v>
      </c>
      <c r="J626" t="s">
        <v>9899</v>
      </c>
      <c r="K626" t="s">
        <v>74</v>
      </c>
      <c r="L626" t="s">
        <v>74</v>
      </c>
      <c r="M626" t="s">
        <v>78</v>
      </c>
      <c r="N626" t="s">
        <v>366</v>
      </c>
      <c r="O626" t="s">
        <v>74</v>
      </c>
      <c r="P626" t="s">
        <v>74</v>
      </c>
      <c r="Q626" t="s">
        <v>74</v>
      </c>
      <c r="R626" t="s">
        <v>74</v>
      </c>
      <c r="S626" t="s">
        <v>74</v>
      </c>
      <c r="T626" t="s">
        <v>74</v>
      </c>
      <c r="U626" t="s">
        <v>9900</v>
      </c>
      <c r="V626" t="s">
        <v>9901</v>
      </c>
      <c r="W626" t="s">
        <v>9902</v>
      </c>
      <c r="X626" t="s">
        <v>9903</v>
      </c>
      <c r="Y626" t="s">
        <v>9904</v>
      </c>
      <c r="Z626" t="s">
        <v>9905</v>
      </c>
      <c r="AA626" t="s">
        <v>74</v>
      </c>
      <c r="AB626" t="s">
        <v>74</v>
      </c>
      <c r="AC626" t="s">
        <v>74</v>
      </c>
      <c r="AD626" t="s">
        <v>74</v>
      </c>
      <c r="AE626" t="s">
        <v>74</v>
      </c>
      <c r="AF626" t="s">
        <v>74</v>
      </c>
      <c r="AG626">
        <v>257</v>
      </c>
      <c r="AH626">
        <v>686</v>
      </c>
      <c r="AI626">
        <v>742</v>
      </c>
      <c r="AJ626">
        <v>3</v>
      </c>
      <c r="AK626">
        <v>52</v>
      </c>
      <c r="AL626" t="s">
        <v>4064</v>
      </c>
      <c r="AM626" t="s">
        <v>4065</v>
      </c>
      <c r="AN626" t="s">
        <v>4097</v>
      </c>
      <c r="AO626" t="s">
        <v>9906</v>
      </c>
      <c r="AP626" t="s">
        <v>9907</v>
      </c>
      <c r="AQ626" t="s">
        <v>74</v>
      </c>
      <c r="AR626" t="s">
        <v>9908</v>
      </c>
      <c r="AS626" t="s">
        <v>9909</v>
      </c>
      <c r="AT626" t="s">
        <v>9889</v>
      </c>
      <c r="AU626">
        <v>2006</v>
      </c>
      <c r="AV626">
        <v>19</v>
      </c>
      <c r="AW626">
        <v>22</v>
      </c>
      <c r="AX626" t="s">
        <v>74</v>
      </c>
      <c r="AY626" t="s">
        <v>74</v>
      </c>
      <c r="AZ626" t="s">
        <v>74</v>
      </c>
      <c r="BA626" t="s">
        <v>74</v>
      </c>
      <c r="BB626">
        <v>5816</v>
      </c>
      <c r="BC626">
        <v>5842</v>
      </c>
      <c r="BD626" t="s">
        <v>74</v>
      </c>
      <c r="BE626" t="s">
        <v>9910</v>
      </c>
      <c r="BF626" t="str">
        <f>HYPERLINK("http://dx.doi.org/10.1175/JCLI3937.1","http://dx.doi.org/10.1175/JCLI3937.1")</f>
        <v>http://dx.doi.org/10.1175/JCLI3937.1</v>
      </c>
      <c r="BG626" t="s">
        <v>74</v>
      </c>
      <c r="BH626" t="s">
        <v>74</v>
      </c>
      <c r="BI626">
        <v>27</v>
      </c>
      <c r="BJ626" t="s">
        <v>3208</v>
      </c>
      <c r="BK626" t="s">
        <v>97</v>
      </c>
      <c r="BL626" t="s">
        <v>3208</v>
      </c>
      <c r="BM626" t="s">
        <v>9911</v>
      </c>
      <c r="BN626" t="s">
        <v>74</v>
      </c>
      <c r="BO626" t="s">
        <v>2155</v>
      </c>
      <c r="BP626" t="s">
        <v>74</v>
      </c>
      <c r="BQ626" t="s">
        <v>74</v>
      </c>
      <c r="BR626" t="s">
        <v>100</v>
      </c>
      <c r="BS626" t="s">
        <v>9912</v>
      </c>
      <c r="BT626" t="str">
        <f>HYPERLINK("https%3A%2F%2Fwww.webofscience.com%2Fwos%2Fwoscc%2Ffull-record%2FWOS:000242618800006","View Full Record in Web of Science")</f>
        <v>View Full Record in Web of Science</v>
      </c>
    </row>
    <row r="627" spans="1:72" x14ac:dyDescent="0.15">
      <c r="A627" t="s">
        <v>72</v>
      </c>
      <c r="B627" t="s">
        <v>9913</v>
      </c>
      <c r="C627" t="s">
        <v>74</v>
      </c>
      <c r="D627" t="s">
        <v>74</v>
      </c>
      <c r="E627" t="s">
        <v>74</v>
      </c>
      <c r="F627" t="s">
        <v>9914</v>
      </c>
      <c r="G627" t="s">
        <v>74</v>
      </c>
      <c r="H627" t="s">
        <v>74</v>
      </c>
      <c r="I627" t="s">
        <v>9915</v>
      </c>
      <c r="J627" t="s">
        <v>7646</v>
      </c>
      <c r="K627" t="s">
        <v>74</v>
      </c>
      <c r="L627" t="s">
        <v>74</v>
      </c>
      <c r="M627" t="s">
        <v>78</v>
      </c>
      <c r="N627" t="s">
        <v>79</v>
      </c>
      <c r="O627" t="s">
        <v>74</v>
      </c>
      <c r="P627" t="s">
        <v>74</v>
      </c>
      <c r="Q627" t="s">
        <v>74</v>
      </c>
      <c r="R627" t="s">
        <v>74</v>
      </c>
      <c r="S627" t="s">
        <v>74</v>
      </c>
      <c r="T627" t="s">
        <v>9916</v>
      </c>
      <c r="U627" t="s">
        <v>9917</v>
      </c>
      <c r="V627" t="s">
        <v>9918</v>
      </c>
      <c r="W627" t="s">
        <v>9919</v>
      </c>
      <c r="X627" t="s">
        <v>1393</v>
      </c>
      <c r="Y627" t="s">
        <v>9920</v>
      </c>
      <c r="Z627" t="s">
        <v>9921</v>
      </c>
      <c r="AA627" t="s">
        <v>9922</v>
      </c>
      <c r="AB627" t="s">
        <v>9923</v>
      </c>
      <c r="AC627" t="s">
        <v>74</v>
      </c>
      <c r="AD627" t="s">
        <v>74</v>
      </c>
      <c r="AE627" t="s">
        <v>74</v>
      </c>
      <c r="AF627" t="s">
        <v>74</v>
      </c>
      <c r="AG627">
        <v>25</v>
      </c>
      <c r="AH627">
        <v>42</v>
      </c>
      <c r="AI627">
        <v>49</v>
      </c>
      <c r="AJ627">
        <v>1</v>
      </c>
      <c r="AK627">
        <v>13</v>
      </c>
      <c r="AL627" t="s">
        <v>7655</v>
      </c>
      <c r="AM627" t="s">
        <v>222</v>
      </c>
      <c r="AN627" t="s">
        <v>7656</v>
      </c>
      <c r="AO627" t="s">
        <v>7657</v>
      </c>
      <c r="AP627" t="s">
        <v>74</v>
      </c>
      <c r="AQ627" t="s">
        <v>74</v>
      </c>
      <c r="AR627" t="s">
        <v>7658</v>
      </c>
      <c r="AS627" t="s">
        <v>7659</v>
      </c>
      <c r="AT627" t="s">
        <v>9889</v>
      </c>
      <c r="AU627">
        <v>2006</v>
      </c>
      <c r="AV627">
        <v>209</v>
      </c>
      <c r="AW627">
        <v>22</v>
      </c>
      <c r="AX627" t="s">
        <v>74</v>
      </c>
      <c r="AY627" t="s">
        <v>74</v>
      </c>
      <c r="AZ627" t="s">
        <v>74</v>
      </c>
      <c r="BA627" t="s">
        <v>74</v>
      </c>
      <c r="BB627">
        <v>4503</v>
      </c>
      <c r="BC627">
        <v>4514</v>
      </c>
      <c r="BD627" t="s">
        <v>74</v>
      </c>
      <c r="BE627" t="s">
        <v>9924</v>
      </c>
      <c r="BF627" t="str">
        <f>HYPERLINK("http://dx.doi.org/10.1242/jeb.02538","http://dx.doi.org/10.1242/jeb.02538")</f>
        <v>http://dx.doi.org/10.1242/jeb.02538</v>
      </c>
      <c r="BG627" t="s">
        <v>74</v>
      </c>
      <c r="BH627" t="s">
        <v>74</v>
      </c>
      <c r="BI627">
        <v>12</v>
      </c>
      <c r="BJ627" t="s">
        <v>5103</v>
      </c>
      <c r="BK627" t="s">
        <v>97</v>
      </c>
      <c r="BL627" t="s">
        <v>5104</v>
      </c>
      <c r="BM627" t="s">
        <v>9925</v>
      </c>
      <c r="BN627">
        <v>17079720</v>
      </c>
      <c r="BO627" t="s">
        <v>124</v>
      </c>
      <c r="BP627" t="s">
        <v>74</v>
      </c>
      <c r="BQ627" t="s">
        <v>74</v>
      </c>
      <c r="BR627" t="s">
        <v>100</v>
      </c>
      <c r="BS627" t="s">
        <v>9926</v>
      </c>
      <c r="BT627" t="str">
        <f>HYPERLINK("https%3A%2F%2Fwww.webofscience.com%2Fwos%2Fwoscc%2Ffull-record%2FWOS:000242132800015","View Full Record in Web of Science")</f>
        <v>View Full Record in Web of Science</v>
      </c>
    </row>
    <row r="628" spans="1:72" x14ac:dyDescent="0.15">
      <c r="A628" t="s">
        <v>72</v>
      </c>
      <c r="B628" t="s">
        <v>9927</v>
      </c>
      <c r="C628" t="s">
        <v>74</v>
      </c>
      <c r="D628" t="s">
        <v>74</v>
      </c>
      <c r="E628" t="s">
        <v>74</v>
      </c>
      <c r="F628" t="s">
        <v>9928</v>
      </c>
      <c r="G628" t="s">
        <v>74</v>
      </c>
      <c r="H628" t="s">
        <v>74</v>
      </c>
      <c r="I628" t="s">
        <v>9929</v>
      </c>
      <c r="J628" t="s">
        <v>7439</v>
      </c>
      <c r="K628" t="s">
        <v>74</v>
      </c>
      <c r="L628" t="s">
        <v>74</v>
      </c>
      <c r="M628" t="s">
        <v>78</v>
      </c>
      <c r="N628" t="s">
        <v>79</v>
      </c>
      <c r="O628" t="s">
        <v>74</v>
      </c>
      <c r="P628" t="s">
        <v>74</v>
      </c>
      <c r="Q628" t="s">
        <v>74</v>
      </c>
      <c r="R628" t="s">
        <v>74</v>
      </c>
      <c r="S628" t="s">
        <v>74</v>
      </c>
      <c r="T628" t="s">
        <v>74</v>
      </c>
      <c r="U628" t="s">
        <v>9930</v>
      </c>
      <c r="V628" t="s">
        <v>9931</v>
      </c>
      <c r="W628" t="s">
        <v>9932</v>
      </c>
      <c r="X628" t="s">
        <v>9933</v>
      </c>
      <c r="Y628" t="s">
        <v>9934</v>
      </c>
      <c r="Z628" t="s">
        <v>9935</v>
      </c>
      <c r="AA628" t="s">
        <v>9936</v>
      </c>
      <c r="AB628" t="s">
        <v>9937</v>
      </c>
      <c r="AC628" t="s">
        <v>74</v>
      </c>
      <c r="AD628" t="s">
        <v>74</v>
      </c>
      <c r="AE628" t="s">
        <v>74</v>
      </c>
      <c r="AF628" t="s">
        <v>74</v>
      </c>
      <c r="AG628">
        <v>87</v>
      </c>
      <c r="AH628">
        <v>28</v>
      </c>
      <c r="AI628">
        <v>28</v>
      </c>
      <c r="AJ628">
        <v>0</v>
      </c>
      <c r="AK628">
        <v>4</v>
      </c>
      <c r="AL628" t="s">
        <v>7239</v>
      </c>
      <c r="AM628" t="s">
        <v>5498</v>
      </c>
      <c r="AN628" t="s">
        <v>7240</v>
      </c>
      <c r="AO628" t="s">
        <v>7448</v>
      </c>
      <c r="AP628" t="s">
        <v>7449</v>
      </c>
      <c r="AQ628" t="s">
        <v>74</v>
      </c>
      <c r="AR628" t="s">
        <v>7450</v>
      </c>
      <c r="AS628" t="s">
        <v>7451</v>
      </c>
      <c r="AT628" t="s">
        <v>9889</v>
      </c>
      <c r="AU628">
        <v>2006</v>
      </c>
      <c r="AV628">
        <v>111</v>
      </c>
      <c r="AW628" t="s">
        <v>9938</v>
      </c>
      <c r="AX628" t="s">
        <v>74</v>
      </c>
      <c r="AY628" t="s">
        <v>74</v>
      </c>
      <c r="AZ628" t="s">
        <v>74</v>
      </c>
      <c r="BA628" t="s">
        <v>74</v>
      </c>
      <c r="BB628" t="s">
        <v>74</v>
      </c>
      <c r="BC628" t="s">
        <v>74</v>
      </c>
      <c r="BD628" t="s">
        <v>9939</v>
      </c>
      <c r="BE628" t="s">
        <v>9940</v>
      </c>
      <c r="BF628" t="str">
        <f>HYPERLINK("http://dx.doi.org/10.1029/2005JD006778","http://dx.doi.org/10.1029/2005JD006778")</f>
        <v>http://dx.doi.org/10.1029/2005JD006778</v>
      </c>
      <c r="BG628" t="s">
        <v>74</v>
      </c>
      <c r="BH628" t="s">
        <v>74</v>
      </c>
      <c r="BI628">
        <v>28</v>
      </c>
      <c r="BJ628" t="s">
        <v>3208</v>
      </c>
      <c r="BK628" t="s">
        <v>97</v>
      </c>
      <c r="BL628" t="s">
        <v>3208</v>
      </c>
      <c r="BM628" t="s">
        <v>9941</v>
      </c>
      <c r="BN628" t="s">
        <v>74</v>
      </c>
      <c r="BO628" t="s">
        <v>7456</v>
      </c>
      <c r="BP628" t="s">
        <v>74</v>
      </c>
      <c r="BQ628" t="s">
        <v>74</v>
      </c>
      <c r="BR628" t="s">
        <v>100</v>
      </c>
      <c r="BS628" t="s">
        <v>9942</v>
      </c>
      <c r="BT628" t="str">
        <f>HYPERLINK("https%3A%2F%2Fwww.webofscience.com%2Fwos%2Fwoscc%2Ffull-record%2FWOS:000242175900001","View Full Record in Web of Science")</f>
        <v>View Full Record in Web of Science</v>
      </c>
    </row>
    <row r="629" spans="1:72" x14ac:dyDescent="0.15">
      <c r="A629" t="s">
        <v>72</v>
      </c>
      <c r="B629" t="s">
        <v>9943</v>
      </c>
      <c r="C629" t="s">
        <v>74</v>
      </c>
      <c r="D629" t="s">
        <v>74</v>
      </c>
      <c r="E629" t="s">
        <v>74</v>
      </c>
      <c r="F629" t="s">
        <v>9944</v>
      </c>
      <c r="G629" t="s">
        <v>74</v>
      </c>
      <c r="H629" t="s">
        <v>74</v>
      </c>
      <c r="I629" t="s">
        <v>9945</v>
      </c>
      <c r="J629" t="s">
        <v>7439</v>
      </c>
      <c r="K629" t="s">
        <v>74</v>
      </c>
      <c r="L629" t="s">
        <v>74</v>
      </c>
      <c r="M629" t="s">
        <v>78</v>
      </c>
      <c r="N629" t="s">
        <v>79</v>
      </c>
      <c r="O629" t="s">
        <v>74</v>
      </c>
      <c r="P629" t="s">
        <v>74</v>
      </c>
      <c r="Q629" t="s">
        <v>74</v>
      </c>
      <c r="R629" t="s">
        <v>74</v>
      </c>
      <c r="S629" t="s">
        <v>74</v>
      </c>
      <c r="T629" t="s">
        <v>74</v>
      </c>
      <c r="U629" t="s">
        <v>9946</v>
      </c>
      <c r="V629" t="s">
        <v>9947</v>
      </c>
      <c r="W629" t="s">
        <v>9948</v>
      </c>
      <c r="X629" t="s">
        <v>9949</v>
      </c>
      <c r="Y629" t="s">
        <v>9950</v>
      </c>
      <c r="Z629" t="s">
        <v>9951</v>
      </c>
      <c r="AA629" t="s">
        <v>1060</v>
      </c>
      <c r="AB629" t="s">
        <v>9952</v>
      </c>
      <c r="AC629" t="s">
        <v>74</v>
      </c>
      <c r="AD629" t="s">
        <v>74</v>
      </c>
      <c r="AE629" t="s">
        <v>74</v>
      </c>
      <c r="AF629" t="s">
        <v>74</v>
      </c>
      <c r="AG629">
        <v>33</v>
      </c>
      <c r="AH629">
        <v>22</v>
      </c>
      <c r="AI629">
        <v>23</v>
      </c>
      <c r="AJ629">
        <v>0</v>
      </c>
      <c r="AK629">
        <v>26</v>
      </c>
      <c r="AL629" t="s">
        <v>7239</v>
      </c>
      <c r="AM629" t="s">
        <v>5498</v>
      </c>
      <c r="AN629" t="s">
        <v>7240</v>
      </c>
      <c r="AO629" t="s">
        <v>7448</v>
      </c>
      <c r="AP629" t="s">
        <v>7449</v>
      </c>
      <c r="AQ629" t="s">
        <v>74</v>
      </c>
      <c r="AR629" t="s">
        <v>7450</v>
      </c>
      <c r="AS629" t="s">
        <v>7451</v>
      </c>
      <c r="AT629" t="s">
        <v>9953</v>
      </c>
      <c r="AU629">
        <v>2006</v>
      </c>
      <c r="AV629">
        <v>111</v>
      </c>
      <c r="AW629" t="s">
        <v>9938</v>
      </c>
      <c r="AX629" t="s">
        <v>74</v>
      </c>
      <c r="AY629" t="s">
        <v>74</v>
      </c>
      <c r="AZ629" t="s">
        <v>74</v>
      </c>
      <c r="BA629" t="s">
        <v>74</v>
      </c>
      <c r="BB629" t="s">
        <v>74</v>
      </c>
      <c r="BC629" t="s">
        <v>74</v>
      </c>
      <c r="BD629" t="s">
        <v>9954</v>
      </c>
      <c r="BE629" t="s">
        <v>9955</v>
      </c>
      <c r="BF629" t="str">
        <f>HYPERLINK("http://dx.doi.org/10.1029/2005JD006488","http://dx.doi.org/10.1029/2005JD006488")</f>
        <v>http://dx.doi.org/10.1029/2005JD006488</v>
      </c>
      <c r="BG629" t="s">
        <v>74</v>
      </c>
      <c r="BH629" t="s">
        <v>74</v>
      </c>
      <c r="BI629">
        <v>10</v>
      </c>
      <c r="BJ629" t="s">
        <v>3208</v>
      </c>
      <c r="BK629" t="s">
        <v>97</v>
      </c>
      <c r="BL629" t="s">
        <v>3208</v>
      </c>
      <c r="BM629" t="s">
        <v>9956</v>
      </c>
      <c r="BN629" t="s">
        <v>74</v>
      </c>
      <c r="BO629" t="s">
        <v>7456</v>
      </c>
      <c r="BP629" t="s">
        <v>74</v>
      </c>
      <c r="BQ629" t="s">
        <v>74</v>
      </c>
      <c r="BR629" t="s">
        <v>100</v>
      </c>
      <c r="BS629" t="s">
        <v>9957</v>
      </c>
      <c r="BT629" t="str">
        <f>HYPERLINK("https%3A%2F%2Fwww.webofscience.com%2Fwos%2Fwoscc%2Ffull-record%2FWOS:000242175800001","View Full Record in Web of Science")</f>
        <v>View Full Record in Web of Science</v>
      </c>
    </row>
    <row r="630" spans="1:72" x14ac:dyDescent="0.15">
      <c r="A630" t="s">
        <v>72</v>
      </c>
      <c r="B630" t="s">
        <v>9958</v>
      </c>
      <c r="C630" t="s">
        <v>74</v>
      </c>
      <c r="D630" t="s">
        <v>74</v>
      </c>
      <c r="E630" t="s">
        <v>74</v>
      </c>
      <c r="F630" t="s">
        <v>9959</v>
      </c>
      <c r="G630" t="s">
        <v>74</v>
      </c>
      <c r="H630" t="s">
        <v>74</v>
      </c>
      <c r="I630" t="s">
        <v>9960</v>
      </c>
      <c r="J630" t="s">
        <v>7287</v>
      </c>
      <c r="K630" t="s">
        <v>74</v>
      </c>
      <c r="L630" t="s">
        <v>74</v>
      </c>
      <c r="M630" t="s">
        <v>78</v>
      </c>
      <c r="N630" t="s">
        <v>79</v>
      </c>
      <c r="O630" t="s">
        <v>74</v>
      </c>
      <c r="P630" t="s">
        <v>74</v>
      </c>
      <c r="Q630" t="s">
        <v>74</v>
      </c>
      <c r="R630" t="s">
        <v>74</v>
      </c>
      <c r="S630" t="s">
        <v>74</v>
      </c>
      <c r="T630" t="s">
        <v>74</v>
      </c>
      <c r="U630" t="s">
        <v>9961</v>
      </c>
      <c r="V630" t="s">
        <v>9962</v>
      </c>
      <c r="W630" t="s">
        <v>9963</v>
      </c>
      <c r="X630" t="s">
        <v>9964</v>
      </c>
      <c r="Y630" t="s">
        <v>9965</v>
      </c>
      <c r="Z630" t="s">
        <v>9966</v>
      </c>
      <c r="AA630" t="s">
        <v>9967</v>
      </c>
      <c r="AB630" t="s">
        <v>9968</v>
      </c>
      <c r="AC630" t="s">
        <v>74</v>
      </c>
      <c r="AD630" t="s">
        <v>74</v>
      </c>
      <c r="AE630" t="s">
        <v>74</v>
      </c>
      <c r="AF630" t="s">
        <v>74</v>
      </c>
      <c r="AG630">
        <v>30</v>
      </c>
      <c r="AH630">
        <v>19</v>
      </c>
      <c r="AI630">
        <v>24</v>
      </c>
      <c r="AJ630">
        <v>1</v>
      </c>
      <c r="AK630">
        <v>6</v>
      </c>
      <c r="AL630" t="s">
        <v>7239</v>
      </c>
      <c r="AM630" t="s">
        <v>5498</v>
      </c>
      <c r="AN630" t="s">
        <v>7240</v>
      </c>
      <c r="AO630" t="s">
        <v>7296</v>
      </c>
      <c r="AP630" t="s">
        <v>7297</v>
      </c>
      <c r="AQ630" t="s">
        <v>74</v>
      </c>
      <c r="AR630" t="s">
        <v>7298</v>
      </c>
      <c r="AS630" t="s">
        <v>7299</v>
      </c>
      <c r="AT630" t="s">
        <v>9953</v>
      </c>
      <c r="AU630">
        <v>2006</v>
      </c>
      <c r="AV630">
        <v>111</v>
      </c>
      <c r="AW630" t="s">
        <v>9661</v>
      </c>
      <c r="AX630" t="s">
        <v>74</v>
      </c>
      <c r="AY630" t="s">
        <v>74</v>
      </c>
      <c r="AZ630" t="s">
        <v>74</v>
      </c>
      <c r="BA630" t="s">
        <v>74</v>
      </c>
      <c r="BB630" t="s">
        <v>74</v>
      </c>
      <c r="BC630" t="s">
        <v>74</v>
      </c>
      <c r="BD630" t="s">
        <v>9969</v>
      </c>
      <c r="BE630" t="s">
        <v>9970</v>
      </c>
      <c r="BF630" t="str">
        <f>HYPERLINK("http://dx.doi.org/10.1029/2006JC003622","http://dx.doi.org/10.1029/2006JC003622")</f>
        <v>http://dx.doi.org/10.1029/2006JC003622</v>
      </c>
      <c r="BG630" t="s">
        <v>74</v>
      </c>
      <c r="BH630" t="s">
        <v>74</v>
      </c>
      <c r="BI630">
        <v>13</v>
      </c>
      <c r="BJ630" t="s">
        <v>1260</v>
      </c>
      <c r="BK630" t="s">
        <v>97</v>
      </c>
      <c r="BL630" t="s">
        <v>1260</v>
      </c>
      <c r="BM630" t="s">
        <v>9971</v>
      </c>
      <c r="BN630" t="s">
        <v>74</v>
      </c>
      <c r="BO630" t="s">
        <v>124</v>
      </c>
      <c r="BP630" t="s">
        <v>74</v>
      </c>
      <c r="BQ630" t="s">
        <v>74</v>
      </c>
      <c r="BR630" t="s">
        <v>100</v>
      </c>
      <c r="BS630" t="s">
        <v>9972</v>
      </c>
      <c r="BT630" t="str">
        <f>HYPERLINK("https%3A%2F%2Fwww.webofscience.com%2Fwos%2Fwoscc%2Ffull-record%2FWOS:000242177300002","View Full Record in Web of Science")</f>
        <v>View Full Record in Web of Science</v>
      </c>
    </row>
    <row r="631" spans="1:72" x14ac:dyDescent="0.15">
      <c r="A631" t="s">
        <v>72</v>
      </c>
      <c r="B631" t="s">
        <v>9973</v>
      </c>
      <c r="C631" t="s">
        <v>74</v>
      </c>
      <c r="D631" t="s">
        <v>74</v>
      </c>
      <c r="E631" t="s">
        <v>74</v>
      </c>
      <c r="F631" t="s">
        <v>9974</v>
      </c>
      <c r="G631" t="s">
        <v>74</v>
      </c>
      <c r="H631" t="s">
        <v>74</v>
      </c>
      <c r="I631" t="s">
        <v>9975</v>
      </c>
      <c r="J631" t="s">
        <v>7802</v>
      </c>
      <c r="K631" t="s">
        <v>74</v>
      </c>
      <c r="L631" t="s">
        <v>74</v>
      </c>
      <c r="M631" t="s">
        <v>78</v>
      </c>
      <c r="N631" t="s">
        <v>79</v>
      </c>
      <c r="O631" t="s">
        <v>74</v>
      </c>
      <c r="P631" t="s">
        <v>74</v>
      </c>
      <c r="Q631" t="s">
        <v>74</v>
      </c>
      <c r="R631" t="s">
        <v>74</v>
      </c>
      <c r="S631" t="s">
        <v>74</v>
      </c>
      <c r="T631" t="s">
        <v>9976</v>
      </c>
      <c r="U631" t="s">
        <v>9977</v>
      </c>
      <c r="V631" t="s">
        <v>9978</v>
      </c>
      <c r="W631" t="s">
        <v>9979</v>
      </c>
      <c r="X631" t="s">
        <v>9980</v>
      </c>
      <c r="Y631" t="s">
        <v>9981</v>
      </c>
      <c r="Z631" t="s">
        <v>9982</v>
      </c>
      <c r="AA631" t="s">
        <v>9983</v>
      </c>
      <c r="AB631" t="s">
        <v>9984</v>
      </c>
      <c r="AC631" t="s">
        <v>74</v>
      </c>
      <c r="AD631" t="s">
        <v>74</v>
      </c>
      <c r="AE631" t="s">
        <v>74</v>
      </c>
      <c r="AF631" t="s">
        <v>74</v>
      </c>
      <c r="AG631">
        <v>36</v>
      </c>
      <c r="AH631">
        <v>19</v>
      </c>
      <c r="AI631">
        <v>21</v>
      </c>
      <c r="AJ631">
        <v>0</v>
      </c>
      <c r="AK631">
        <v>11</v>
      </c>
      <c r="AL631" t="s">
        <v>7809</v>
      </c>
      <c r="AM631" t="s">
        <v>7810</v>
      </c>
      <c r="AN631" t="s">
        <v>7811</v>
      </c>
      <c r="AO631" t="s">
        <v>7812</v>
      </c>
      <c r="AP631" t="s">
        <v>74</v>
      </c>
      <c r="AQ631" t="s">
        <v>74</v>
      </c>
      <c r="AR631" t="s">
        <v>7813</v>
      </c>
      <c r="AS631" t="s">
        <v>7814</v>
      </c>
      <c r="AT631" t="s">
        <v>9985</v>
      </c>
      <c r="AU631">
        <v>2006</v>
      </c>
      <c r="AV631">
        <v>91</v>
      </c>
      <c r="AW631">
        <v>9</v>
      </c>
      <c r="AX631" t="s">
        <v>74</v>
      </c>
      <c r="AY631" t="s">
        <v>74</v>
      </c>
      <c r="AZ631" t="s">
        <v>74</v>
      </c>
      <c r="BA631" t="s">
        <v>74</v>
      </c>
      <c r="BB631">
        <v>1200</v>
      </c>
      <c r="BC631">
        <v>1207</v>
      </c>
      <c r="BD631" t="s">
        <v>74</v>
      </c>
      <c r="BE631" t="s">
        <v>74</v>
      </c>
      <c r="BF631" t="s">
        <v>74</v>
      </c>
      <c r="BG631" t="s">
        <v>74</v>
      </c>
      <c r="BH631" t="s">
        <v>74</v>
      </c>
      <c r="BI631">
        <v>8</v>
      </c>
      <c r="BJ631" t="s">
        <v>884</v>
      </c>
      <c r="BK631" t="s">
        <v>97</v>
      </c>
      <c r="BL631" t="s">
        <v>885</v>
      </c>
      <c r="BM631" t="s">
        <v>9986</v>
      </c>
      <c r="BN631" t="s">
        <v>74</v>
      </c>
      <c r="BO631" t="s">
        <v>74</v>
      </c>
      <c r="BP631" t="s">
        <v>74</v>
      </c>
      <c r="BQ631" t="s">
        <v>74</v>
      </c>
      <c r="BR631" t="s">
        <v>100</v>
      </c>
      <c r="BS631" t="s">
        <v>9987</v>
      </c>
      <c r="BT631" t="str">
        <f>HYPERLINK("https%3A%2F%2Fwww.webofscience.com%2Fwos%2Fwoscc%2Ffull-record%2FWOS:000242267500023","View Full Record in Web of Science")</f>
        <v>View Full Record in Web of Science</v>
      </c>
    </row>
    <row r="632" spans="1:72" x14ac:dyDescent="0.15">
      <c r="A632" t="s">
        <v>72</v>
      </c>
      <c r="B632" t="s">
        <v>9988</v>
      </c>
      <c r="C632" t="s">
        <v>74</v>
      </c>
      <c r="D632" t="s">
        <v>74</v>
      </c>
      <c r="E632" t="s">
        <v>74</v>
      </c>
      <c r="F632" t="s">
        <v>9989</v>
      </c>
      <c r="G632" t="s">
        <v>74</v>
      </c>
      <c r="H632" t="s">
        <v>74</v>
      </c>
      <c r="I632" t="s">
        <v>9990</v>
      </c>
      <c r="J632" t="s">
        <v>7251</v>
      </c>
      <c r="K632" t="s">
        <v>74</v>
      </c>
      <c r="L632" t="s">
        <v>74</v>
      </c>
      <c r="M632" t="s">
        <v>78</v>
      </c>
      <c r="N632" t="s">
        <v>79</v>
      </c>
      <c r="O632" t="s">
        <v>74</v>
      </c>
      <c r="P632" t="s">
        <v>74</v>
      </c>
      <c r="Q632" t="s">
        <v>74</v>
      </c>
      <c r="R632" t="s">
        <v>74</v>
      </c>
      <c r="S632" t="s">
        <v>74</v>
      </c>
      <c r="T632" t="s">
        <v>74</v>
      </c>
      <c r="U632" t="s">
        <v>9991</v>
      </c>
      <c r="V632" t="s">
        <v>9992</v>
      </c>
      <c r="W632" t="s">
        <v>9993</v>
      </c>
      <c r="X632" t="s">
        <v>9994</v>
      </c>
      <c r="Y632" t="s">
        <v>9995</v>
      </c>
      <c r="Z632" t="s">
        <v>9996</v>
      </c>
      <c r="AA632" t="s">
        <v>4467</v>
      </c>
      <c r="AB632" t="s">
        <v>9997</v>
      </c>
      <c r="AC632" t="s">
        <v>74</v>
      </c>
      <c r="AD632" t="s">
        <v>74</v>
      </c>
      <c r="AE632" t="s">
        <v>74</v>
      </c>
      <c r="AF632" t="s">
        <v>74</v>
      </c>
      <c r="AG632">
        <v>30</v>
      </c>
      <c r="AH632">
        <v>82</v>
      </c>
      <c r="AI632">
        <v>99</v>
      </c>
      <c r="AJ632">
        <v>0</v>
      </c>
      <c r="AK632">
        <v>24</v>
      </c>
      <c r="AL632" t="s">
        <v>7239</v>
      </c>
      <c r="AM632" t="s">
        <v>5498</v>
      </c>
      <c r="AN632" t="s">
        <v>7240</v>
      </c>
      <c r="AO632" t="s">
        <v>7257</v>
      </c>
      <c r="AP632" t="s">
        <v>74</v>
      </c>
      <c r="AQ632" t="s">
        <v>74</v>
      </c>
      <c r="AR632" t="s">
        <v>7258</v>
      </c>
      <c r="AS632" t="s">
        <v>7259</v>
      </c>
      <c r="AT632" t="s">
        <v>9985</v>
      </c>
      <c r="AU632">
        <v>2006</v>
      </c>
      <c r="AV632">
        <v>33</v>
      </c>
      <c r="AW632">
        <v>22</v>
      </c>
      <c r="AX632" t="s">
        <v>74</v>
      </c>
      <c r="AY632" t="s">
        <v>74</v>
      </c>
      <c r="AZ632" t="s">
        <v>74</v>
      </c>
      <c r="BA632" t="s">
        <v>74</v>
      </c>
      <c r="BB632" t="s">
        <v>74</v>
      </c>
      <c r="BC632" t="s">
        <v>74</v>
      </c>
      <c r="BD632" t="s">
        <v>9998</v>
      </c>
      <c r="BE632" t="s">
        <v>9999</v>
      </c>
      <c r="BF632" t="str">
        <f>HYPERLINK("http://dx.doi.org/10.1029/2006GL027113","http://dx.doi.org/10.1029/2006GL027113")</f>
        <v>http://dx.doi.org/10.1029/2006GL027113</v>
      </c>
      <c r="BG632" t="s">
        <v>74</v>
      </c>
      <c r="BH632" t="s">
        <v>74</v>
      </c>
      <c r="BI632">
        <v>6</v>
      </c>
      <c r="BJ632" t="s">
        <v>685</v>
      </c>
      <c r="BK632" t="s">
        <v>97</v>
      </c>
      <c r="BL632" t="s">
        <v>642</v>
      </c>
      <c r="BM632" t="s">
        <v>10000</v>
      </c>
      <c r="BN632" t="s">
        <v>74</v>
      </c>
      <c r="BO632" t="s">
        <v>124</v>
      </c>
      <c r="BP632" t="s">
        <v>74</v>
      </c>
      <c r="BQ632" t="s">
        <v>74</v>
      </c>
      <c r="BR632" t="s">
        <v>100</v>
      </c>
      <c r="BS632" t="s">
        <v>10001</v>
      </c>
      <c r="BT632" t="str">
        <f>HYPERLINK("https%3A%2F%2Fwww.webofscience.com%2Fwos%2Fwoscc%2Ffull-record%2FWOS:000241983700001","View Full Record in Web of Science")</f>
        <v>View Full Record in Web of Science</v>
      </c>
    </row>
    <row r="633" spans="1:72" x14ac:dyDescent="0.15">
      <c r="A633" t="s">
        <v>72</v>
      </c>
      <c r="B633" t="s">
        <v>10002</v>
      </c>
      <c r="C633" t="s">
        <v>74</v>
      </c>
      <c r="D633" t="s">
        <v>74</v>
      </c>
      <c r="E633" t="s">
        <v>74</v>
      </c>
      <c r="F633" t="s">
        <v>10003</v>
      </c>
      <c r="G633" t="s">
        <v>74</v>
      </c>
      <c r="H633" t="s">
        <v>74</v>
      </c>
      <c r="I633" t="s">
        <v>10004</v>
      </c>
      <c r="J633" t="s">
        <v>7626</v>
      </c>
      <c r="K633" t="s">
        <v>74</v>
      </c>
      <c r="L633" t="s">
        <v>74</v>
      </c>
      <c r="M633" t="s">
        <v>78</v>
      </c>
      <c r="N633" t="s">
        <v>79</v>
      </c>
      <c r="O633" t="s">
        <v>74</v>
      </c>
      <c r="P633" t="s">
        <v>74</v>
      </c>
      <c r="Q633" t="s">
        <v>74</v>
      </c>
      <c r="R633" t="s">
        <v>74</v>
      </c>
      <c r="S633" t="s">
        <v>74</v>
      </c>
      <c r="T633" t="s">
        <v>10005</v>
      </c>
      <c r="U633" t="s">
        <v>10006</v>
      </c>
      <c r="V633" t="s">
        <v>10007</v>
      </c>
      <c r="W633" t="s">
        <v>10008</v>
      </c>
      <c r="X633" t="s">
        <v>10009</v>
      </c>
      <c r="Y633" t="s">
        <v>10010</v>
      </c>
      <c r="Z633" t="s">
        <v>10011</v>
      </c>
      <c r="AA633" t="s">
        <v>10012</v>
      </c>
      <c r="AB633" t="s">
        <v>10013</v>
      </c>
      <c r="AC633" t="s">
        <v>74</v>
      </c>
      <c r="AD633" t="s">
        <v>74</v>
      </c>
      <c r="AE633" t="s">
        <v>74</v>
      </c>
      <c r="AF633" t="s">
        <v>74</v>
      </c>
      <c r="AG633">
        <v>20</v>
      </c>
      <c r="AH633">
        <v>11</v>
      </c>
      <c r="AI633">
        <v>14</v>
      </c>
      <c r="AJ633">
        <v>1</v>
      </c>
      <c r="AK633">
        <v>10</v>
      </c>
      <c r="AL633" t="s">
        <v>2829</v>
      </c>
      <c r="AM633" t="s">
        <v>903</v>
      </c>
      <c r="AN633" t="s">
        <v>2830</v>
      </c>
      <c r="AO633" t="s">
        <v>7636</v>
      </c>
      <c r="AP633" t="s">
        <v>10014</v>
      </c>
      <c r="AQ633" t="s">
        <v>74</v>
      </c>
      <c r="AR633" t="s">
        <v>7637</v>
      </c>
      <c r="AS633" t="s">
        <v>7638</v>
      </c>
      <c r="AT633" t="s">
        <v>9985</v>
      </c>
      <c r="AU633">
        <v>2006</v>
      </c>
      <c r="AV633">
        <v>126</v>
      </c>
      <c r="AW633">
        <v>3</v>
      </c>
      <c r="AX633" t="s">
        <v>74</v>
      </c>
      <c r="AY633" t="s">
        <v>74</v>
      </c>
      <c r="AZ633" t="s">
        <v>74</v>
      </c>
      <c r="BA633" t="s">
        <v>74</v>
      </c>
      <c r="BB633">
        <v>334</v>
      </c>
      <c r="BC633">
        <v>341</v>
      </c>
      <c r="BD633" t="s">
        <v>74</v>
      </c>
      <c r="BE633" t="s">
        <v>10015</v>
      </c>
      <c r="BF633" t="str">
        <f>HYPERLINK("http://dx.doi.org/10.1016/j.jbiotec.2006.04.027","http://dx.doi.org/10.1016/j.jbiotec.2006.04.027")</f>
        <v>http://dx.doi.org/10.1016/j.jbiotec.2006.04.027</v>
      </c>
      <c r="BG633" t="s">
        <v>74</v>
      </c>
      <c r="BH633" t="s">
        <v>74</v>
      </c>
      <c r="BI633">
        <v>8</v>
      </c>
      <c r="BJ633" t="s">
        <v>7640</v>
      </c>
      <c r="BK633" t="s">
        <v>97</v>
      </c>
      <c r="BL633" t="s">
        <v>7640</v>
      </c>
      <c r="BM633" t="s">
        <v>10016</v>
      </c>
      <c r="BN633">
        <v>16730836</v>
      </c>
      <c r="BO633" t="s">
        <v>74</v>
      </c>
      <c r="BP633" t="s">
        <v>74</v>
      </c>
      <c r="BQ633" t="s">
        <v>74</v>
      </c>
      <c r="BR633" t="s">
        <v>100</v>
      </c>
      <c r="BS633" t="s">
        <v>10017</v>
      </c>
      <c r="BT633" t="str">
        <f>HYPERLINK("https%3A%2F%2Fwww.webofscience.com%2Fwos%2Fwoscc%2Ffull-record%2FWOS:000242252300009","View Full Record in Web of Science")</f>
        <v>View Full Record in Web of Science</v>
      </c>
    </row>
    <row r="634" spans="1:72" x14ac:dyDescent="0.15">
      <c r="A634" t="s">
        <v>72</v>
      </c>
      <c r="B634" t="s">
        <v>10018</v>
      </c>
      <c r="C634" t="s">
        <v>74</v>
      </c>
      <c r="D634" t="s">
        <v>74</v>
      </c>
      <c r="E634" t="s">
        <v>74</v>
      </c>
      <c r="F634" t="s">
        <v>10019</v>
      </c>
      <c r="G634" t="s">
        <v>74</v>
      </c>
      <c r="H634" t="s">
        <v>10020</v>
      </c>
      <c r="I634" t="s">
        <v>10021</v>
      </c>
      <c r="J634" t="s">
        <v>7402</v>
      </c>
      <c r="K634" t="s">
        <v>74</v>
      </c>
      <c r="L634" t="s">
        <v>74</v>
      </c>
      <c r="M634" t="s">
        <v>78</v>
      </c>
      <c r="N634" t="s">
        <v>79</v>
      </c>
      <c r="O634" t="s">
        <v>74</v>
      </c>
      <c r="P634" t="s">
        <v>74</v>
      </c>
      <c r="Q634" t="s">
        <v>74</v>
      </c>
      <c r="R634" t="s">
        <v>74</v>
      </c>
      <c r="S634" t="s">
        <v>74</v>
      </c>
      <c r="T634" t="s">
        <v>74</v>
      </c>
      <c r="U634" t="s">
        <v>10022</v>
      </c>
      <c r="V634" t="s">
        <v>10023</v>
      </c>
      <c r="W634" t="s">
        <v>10024</v>
      </c>
      <c r="X634" t="s">
        <v>10025</v>
      </c>
      <c r="Y634" t="s">
        <v>10026</v>
      </c>
      <c r="Z634" t="s">
        <v>10027</v>
      </c>
      <c r="AA634" t="s">
        <v>10028</v>
      </c>
      <c r="AB634" t="s">
        <v>10029</v>
      </c>
      <c r="AC634" t="s">
        <v>157</v>
      </c>
      <c r="AD634" t="s">
        <v>158</v>
      </c>
      <c r="AE634" t="s">
        <v>74</v>
      </c>
      <c r="AF634" t="s">
        <v>74</v>
      </c>
      <c r="AG634">
        <v>30</v>
      </c>
      <c r="AH634">
        <v>960</v>
      </c>
      <c r="AI634">
        <v>1064</v>
      </c>
      <c r="AJ634">
        <v>6</v>
      </c>
      <c r="AK634">
        <v>309</v>
      </c>
      <c r="AL634" t="s">
        <v>7409</v>
      </c>
      <c r="AM634" t="s">
        <v>1197</v>
      </c>
      <c r="AN634" t="s">
        <v>7410</v>
      </c>
      <c r="AO634" t="s">
        <v>7411</v>
      </c>
      <c r="AP634" t="s">
        <v>7412</v>
      </c>
      <c r="AQ634" t="s">
        <v>74</v>
      </c>
      <c r="AR634" t="s">
        <v>7402</v>
      </c>
      <c r="AS634" t="s">
        <v>7413</v>
      </c>
      <c r="AT634" t="s">
        <v>10030</v>
      </c>
      <c r="AU634">
        <v>2006</v>
      </c>
      <c r="AV634">
        <v>444</v>
      </c>
      <c r="AW634">
        <v>7116</v>
      </c>
      <c r="AX634" t="s">
        <v>74</v>
      </c>
      <c r="AY634" t="s">
        <v>74</v>
      </c>
      <c r="AZ634" t="s">
        <v>74</v>
      </c>
      <c r="BA634" t="s">
        <v>74</v>
      </c>
      <c r="BB634">
        <v>195</v>
      </c>
      <c r="BC634">
        <v>198</v>
      </c>
      <c r="BD634" t="s">
        <v>74</v>
      </c>
      <c r="BE634" t="s">
        <v>10031</v>
      </c>
      <c r="BF634" t="str">
        <f>HYPERLINK("http://dx.doi.org/10.1038/nature05301","http://dx.doi.org/10.1038/nature05301")</f>
        <v>http://dx.doi.org/10.1038/nature05301</v>
      </c>
      <c r="BG634" t="s">
        <v>74</v>
      </c>
      <c r="BH634" t="s">
        <v>74</v>
      </c>
      <c r="BI634">
        <v>4</v>
      </c>
      <c r="BJ634" t="s">
        <v>884</v>
      </c>
      <c r="BK634" t="s">
        <v>97</v>
      </c>
      <c r="BL634" t="s">
        <v>885</v>
      </c>
      <c r="BM634" t="s">
        <v>10032</v>
      </c>
      <c r="BN634">
        <v>17099953</v>
      </c>
      <c r="BO634" t="s">
        <v>1314</v>
      </c>
      <c r="BP634" t="s">
        <v>74</v>
      </c>
      <c r="BQ634" t="s">
        <v>74</v>
      </c>
      <c r="BR634" t="s">
        <v>100</v>
      </c>
      <c r="BS634" t="s">
        <v>10033</v>
      </c>
      <c r="BT634" t="str">
        <f>HYPERLINK("https%3A%2F%2Fwww.webofscience.com%2Fwos%2Fwoscc%2Ffull-record%2FWOS:000241867200038","View Full Record in Web of Science")</f>
        <v>View Full Record in Web of Science</v>
      </c>
    </row>
    <row r="635" spans="1:72" x14ac:dyDescent="0.15">
      <c r="A635" t="s">
        <v>72</v>
      </c>
      <c r="B635" t="s">
        <v>10034</v>
      </c>
      <c r="C635" t="s">
        <v>74</v>
      </c>
      <c r="D635" t="s">
        <v>74</v>
      </c>
      <c r="E635" t="s">
        <v>74</v>
      </c>
      <c r="F635" t="s">
        <v>10035</v>
      </c>
      <c r="G635" t="s">
        <v>74</v>
      </c>
      <c r="H635" t="s">
        <v>74</v>
      </c>
      <c r="I635" t="s">
        <v>10036</v>
      </c>
      <c r="J635" t="s">
        <v>7251</v>
      </c>
      <c r="K635" t="s">
        <v>74</v>
      </c>
      <c r="L635" t="s">
        <v>74</v>
      </c>
      <c r="M635" t="s">
        <v>78</v>
      </c>
      <c r="N635" t="s">
        <v>79</v>
      </c>
      <c r="O635" t="s">
        <v>74</v>
      </c>
      <c r="P635" t="s">
        <v>74</v>
      </c>
      <c r="Q635" t="s">
        <v>74</v>
      </c>
      <c r="R635" t="s">
        <v>74</v>
      </c>
      <c r="S635" t="s">
        <v>74</v>
      </c>
      <c r="T635" t="s">
        <v>74</v>
      </c>
      <c r="U635" t="s">
        <v>10037</v>
      </c>
      <c r="V635" t="s">
        <v>10038</v>
      </c>
      <c r="W635" t="s">
        <v>10039</v>
      </c>
      <c r="X635" t="s">
        <v>10040</v>
      </c>
      <c r="Y635" t="s">
        <v>10041</v>
      </c>
      <c r="Z635" t="s">
        <v>10042</v>
      </c>
      <c r="AA635" t="s">
        <v>10043</v>
      </c>
      <c r="AB635" t="s">
        <v>10044</v>
      </c>
      <c r="AC635" t="s">
        <v>74</v>
      </c>
      <c r="AD635" t="s">
        <v>74</v>
      </c>
      <c r="AE635" t="s">
        <v>74</v>
      </c>
      <c r="AF635" t="s">
        <v>74</v>
      </c>
      <c r="AG635">
        <v>21</v>
      </c>
      <c r="AH635">
        <v>8</v>
      </c>
      <c r="AI635">
        <v>9</v>
      </c>
      <c r="AJ635">
        <v>1</v>
      </c>
      <c r="AK635">
        <v>3</v>
      </c>
      <c r="AL635" t="s">
        <v>7239</v>
      </c>
      <c r="AM635" t="s">
        <v>5498</v>
      </c>
      <c r="AN635" t="s">
        <v>7240</v>
      </c>
      <c r="AO635" t="s">
        <v>7257</v>
      </c>
      <c r="AP635" t="s">
        <v>7394</v>
      </c>
      <c r="AQ635" t="s">
        <v>74</v>
      </c>
      <c r="AR635" t="s">
        <v>7258</v>
      </c>
      <c r="AS635" t="s">
        <v>7259</v>
      </c>
      <c r="AT635" t="s">
        <v>10045</v>
      </c>
      <c r="AU635">
        <v>2006</v>
      </c>
      <c r="AV635">
        <v>33</v>
      </c>
      <c r="AW635">
        <v>21</v>
      </c>
      <c r="AX635" t="s">
        <v>74</v>
      </c>
      <c r="AY635" t="s">
        <v>74</v>
      </c>
      <c r="AZ635" t="s">
        <v>74</v>
      </c>
      <c r="BA635" t="s">
        <v>74</v>
      </c>
      <c r="BB635" t="s">
        <v>74</v>
      </c>
      <c r="BC635" t="s">
        <v>74</v>
      </c>
      <c r="BD635" t="s">
        <v>10046</v>
      </c>
      <c r="BE635" t="s">
        <v>10047</v>
      </c>
      <c r="BF635" t="str">
        <f>HYPERLINK("http://dx.doi.org/10.1029/2006GL027335","http://dx.doi.org/10.1029/2006GL027335")</f>
        <v>http://dx.doi.org/10.1029/2006GL027335</v>
      </c>
      <c r="BG635" t="s">
        <v>74</v>
      </c>
      <c r="BH635" t="s">
        <v>74</v>
      </c>
      <c r="BI635">
        <v>5</v>
      </c>
      <c r="BJ635" t="s">
        <v>685</v>
      </c>
      <c r="BK635" t="s">
        <v>97</v>
      </c>
      <c r="BL635" t="s">
        <v>642</v>
      </c>
      <c r="BM635" t="s">
        <v>10048</v>
      </c>
      <c r="BN635" t="s">
        <v>74</v>
      </c>
      <c r="BO635" t="s">
        <v>7456</v>
      </c>
      <c r="BP635" t="s">
        <v>74</v>
      </c>
      <c r="BQ635" t="s">
        <v>74</v>
      </c>
      <c r="BR635" t="s">
        <v>100</v>
      </c>
      <c r="BS635" t="s">
        <v>10049</v>
      </c>
      <c r="BT635" t="str">
        <f>HYPERLINK("https%3A%2F%2Fwww.webofscience.com%2Fwos%2Fwoscc%2Ffull-record%2FWOS:000241982900003","View Full Record in Web of Science")</f>
        <v>View Full Record in Web of Science</v>
      </c>
    </row>
    <row r="636" spans="1:72" x14ac:dyDescent="0.15">
      <c r="A636" t="s">
        <v>72</v>
      </c>
      <c r="B636" t="s">
        <v>10050</v>
      </c>
      <c r="C636" t="s">
        <v>74</v>
      </c>
      <c r="D636" t="s">
        <v>74</v>
      </c>
      <c r="E636" t="s">
        <v>74</v>
      </c>
      <c r="F636" t="s">
        <v>10051</v>
      </c>
      <c r="G636" t="s">
        <v>74</v>
      </c>
      <c r="H636" t="s">
        <v>74</v>
      </c>
      <c r="I636" t="s">
        <v>10052</v>
      </c>
      <c r="J636" t="s">
        <v>10053</v>
      </c>
      <c r="K636" t="s">
        <v>74</v>
      </c>
      <c r="L636" t="s">
        <v>74</v>
      </c>
      <c r="M636" t="s">
        <v>78</v>
      </c>
      <c r="N636" t="s">
        <v>79</v>
      </c>
      <c r="O636" t="s">
        <v>74</v>
      </c>
      <c r="P636" t="s">
        <v>74</v>
      </c>
      <c r="Q636" t="s">
        <v>74</v>
      </c>
      <c r="R636" t="s">
        <v>74</v>
      </c>
      <c r="S636" t="s">
        <v>74</v>
      </c>
      <c r="T636" t="s">
        <v>74</v>
      </c>
      <c r="U636" t="s">
        <v>10054</v>
      </c>
      <c r="V636" t="s">
        <v>10055</v>
      </c>
      <c r="W636" t="s">
        <v>10056</v>
      </c>
      <c r="X636" t="s">
        <v>10057</v>
      </c>
      <c r="Y636" t="s">
        <v>10058</v>
      </c>
      <c r="Z636" t="s">
        <v>10059</v>
      </c>
      <c r="AA636" t="s">
        <v>74</v>
      </c>
      <c r="AB636" t="s">
        <v>74</v>
      </c>
      <c r="AC636" t="s">
        <v>74</v>
      </c>
      <c r="AD636" t="s">
        <v>74</v>
      </c>
      <c r="AE636" t="s">
        <v>74</v>
      </c>
      <c r="AF636" t="s">
        <v>74</v>
      </c>
      <c r="AG636">
        <v>43</v>
      </c>
      <c r="AH636">
        <v>53</v>
      </c>
      <c r="AI636">
        <v>58</v>
      </c>
      <c r="AJ636">
        <v>1</v>
      </c>
      <c r="AK636">
        <v>16</v>
      </c>
      <c r="AL636" t="s">
        <v>7239</v>
      </c>
      <c r="AM636" t="s">
        <v>5498</v>
      </c>
      <c r="AN636" t="s">
        <v>7240</v>
      </c>
      <c r="AO636" t="s">
        <v>10060</v>
      </c>
      <c r="AP636" t="s">
        <v>74</v>
      </c>
      <c r="AQ636" t="s">
        <v>74</v>
      </c>
      <c r="AR636" t="s">
        <v>10061</v>
      </c>
      <c r="AS636" t="s">
        <v>10062</v>
      </c>
      <c r="AT636" t="s">
        <v>10045</v>
      </c>
      <c r="AU636">
        <v>2006</v>
      </c>
      <c r="AV636">
        <v>42</v>
      </c>
      <c r="AW636">
        <v>11</v>
      </c>
      <c r="AX636" t="s">
        <v>74</v>
      </c>
      <c r="AY636" t="s">
        <v>74</v>
      </c>
      <c r="AZ636" t="s">
        <v>74</v>
      </c>
      <c r="BA636" t="s">
        <v>74</v>
      </c>
      <c r="BB636" t="s">
        <v>74</v>
      </c>
      <c r="BC636" t="s">
        <v>74</v>
      </c>
      <c r="BD636" t="s">
        <v>10063</v>
      </c>
      <c r="BE636" t="s">
        <v>10064</v>
      </c>
      <c r="BF636" t="str">
        <f>HYPERLINK("http://dx.doi.org/10.1029/2005WR004311","http://dx.doi.org/10.1029/2005WR004311")</f>
        <v>http://dx.doi.org/10.1029/2005WR004311</v>
      </c>
      <c r="BG636" t="s">
        <v>74</v>
      </c>
      <c r="BH636" t="s">
        <v>74</v>
      </c>
      <c r="BI636">
        <v>15</v>
      </c>
      <c r="BJ636" t="s">
        <v>10065</v>
      </c>
      <c r="BK636" t="s">
        <v>97</v>
      </c>
      <c r="BL636" t="s">
        <v>169</v>
      </c>
      <c r="BM636" t="s">
        <v>10066</v>
      </c>
      <c r="BN636" t="s">
        <v>74</v>
      </c>
      <c r="BO636" t="s">
        <v>74</v>
      </c>
      <c r="BP636" t="s">
        <v>74</v>
      </c>
      <c r="BQ636" t="s">
        <v>74</v>
      </c>
      <c r="BR636" t="s">
        <v>100</v>
      </c>
      <c r="BS636" t="s">
        <v>10067</v>
      </c>
      <c r="BT636" t="str">
        <f>HYPERLINK("https%3A%2F%2Fwww.webofscience.com%2Fwos%2Fwoscc%2Ffull-record%2FWOS:000241987000001","View Full Record in Web of Science")</f>
        <v>View Full Record in Web of Science</v>
      </c>
    </row>
    <row r="637" spans="1:72" x14ac:dyDescent="0.15">
      <c r="A637" t="s">
        <v>72</v>
      </c>
      <c r="B637" t="s">
        <v>10068</v>
      </c>
      <c r="C637" t="s">
        <v>74</v>
      </c>
      <c r="D637" t="s">
        <v>74</v>
      </c>
      <c r="E637" t="s">
        <v>74</v>
      </c>
      <c r="F637" t="s">
        <v>10069</v>
      </c>
      <c r="G637" t="s">
        <v>74</v>
      </c>
      <c r="H637" t="s">
        <v>74</v>
      </c>
      <c r="I637" t="s">
        <v>10070</v>
      </c>
      <c r="J637" t="s">
        <v>342</v>
      </c>
      <c r="K637" t="s">
        <v>74</v>
      </c>
      <c r="L637" t="s">
        <v>74</v>
      </c>
      <c r="M637" t="s">
        <v>78</v>
      </c>
      <c r="N637" t="s">
        <v>79</v>
      </c>
      <c r="O637" t="s">
        <v>74</v>
      </c>
      <c r="P637" t="s">
        <v>74</v>
      </c>
      <c r="Q637" t="s">
        <v>74</v>
      </c>
      <c r="R637" t="s">
        <v>74</v>
      </c>
      <c r="S637" t="s">
        <v>74</v>
      </c>
      <c r="T637" t="s">
        <v>74</v>
      </c>
      <c r="U637" t="s">
        <v>10071</v>
      </c>
      <c r="V637" t="s">
        <v>10072</v>
      </c>
      <c r="W637" t="s">
        <v>10073</v>
      </c>
      <c r="X637" t="s">
        <v>10074</v>
      </c>
      <c r="Y637" t="s">
        <v>10075</v>
      </c>
      <c r="Z637" t="s">
        <v>10076</v>
      </c>
      <c r="AA637" t="s">
        <v>10077</v>
      </c>
      <c r="AB637" t="s">
        <v>10078</v>
      </c>
      <c r="AC637" t="s">
        <v>74</v>
      </c>
      <c r="AD637" t="s">
        <v>74</v>
      </c>
      <c r="AE637" t="s">
        <v>74</v>
      </c>
      <c r="AF637" t="s">
        <v>74</v>
      </c>
      <c r="AG637">
        <v>64</v>
      </c>
      <c r="AH637">
        <v>1</v>
      </c>
      <c r="AI637">
        <v>2</v>
      </c>
      <c r="AJ637">
        <v>0</v>
      </c>
      <c r="AK637">
        <v>1</v>
      </c>
      <c r="AL637" t="s">
        <v>351</v>
      </c>
      <c r="AM637" t="s">
        <v>352</v>
      </c>
      <c r="AN637" t="s">
        <v>353</v>
      </c>
      <c r="AO637" t="s">
        <v>354</v>
      </c>
      <c r="AP637" t="s">
        <v>355</v>
      </c>
      <c r="AQ637" t="s">
        <v>74</v>
      </c>
      <c r="AR637" t="s">
        <v>356</v>
      </c>
      <c r="AS637" t="s">
        <v>357</v>
      </c>
      <c r="AT637" t="s">
        <v>10079</v>
      </c>
      <c r="AU637">
        <v>2006</v>
      </c>
      <c r="AV637">
        <v>6</v>
      </c>
      <c r="AW637" t="s">
        <v>74</v>
      </c>
      <c r="AX637" t="s">
        <v>74</v>
      </c>
      <c r="AY637" t="s">
        <v>74</v>
      </c>
      <c r="AZ637" t="s">
        <v>74</v>
      </c>
      <c r="BA637" t="s">
        <v>74</v>
      </c>
      <c r="BB637">
        <v>5105</v>
      </c>
      <c r="BC637">
        <v>5120</v>
      </c>
      <c r="BD637" t="s">
        <v>74</v>
      </c>
      <c r="BE637" t="s">
        <v>10080</v>
      </c>
      <c r="BF637" t="str">
        <f>HYPERLINK("http://dx.doi.org/10.5194/acp-6-5105-2006","http://dx.doi.org/10.5194/acp-6-5105-2006")</f>
        <v>http://dx.doi.org/10.5194/acp-6-5105-2006</v>
      </c>
      <c r="BG637" t="s">
        <v>74</v>
      </c>
      <c r="BH637" t="s">
        <v>74</v>
      </c>
      <c r="BI637">
        <v>16</v>
      </c>
      <c r="BJ637" t="s">
        <v>359</v>
      </c>
      <c r="BK637" t="s">
        <v>97</v>
      </c>
      <c r="BL637" t="s">
        <v>360</v>
      </c>
      <c r="BM637" t="s">
        <v>10081</v>
      </c>
      <c r="BN637" t="s">
        <v>74</v>
      </c>
      <c r="BO637" t="s">
        <v>392</v>
      </c>
      <c r="BP637" t="s">
        <v>74</v>
      </c>
      <c r="BQ637" t="s">
        <v>74</v>
      </c>
      <c r="BR637" t="s">
        <v>100</v>
      </c>
      <c r="BS637" t="s">
        <v>10082</v>
      </c>
      <c r="BT637" t="str">
        <f>HYPERLINK("https%3A%2F%2Fwww.webofscience.com%2Fwos%2Fwoscc%2Ffull-record%2FWOS:000241903300002","View Full Record in Web of Science")</f>
        <v>View Full Record in Web of Science</v>
      </c>
    </row>
    <row r="638" spans="1:72" x14ac:dyDescent="0.15">
      <c r="A638" t="s">
        <v>72</v>
      </c>
      <c r="B638" t="s">
        <v>10083</v>
      </c>
      <c r="C638" t="s">
        <v>74</v>
      </c>
      <c r="D638" t="s">
        <v>74</v>
      </c>
      <c r="E638" t="s">
        <v>74</v>
      </c>
      <c r="F638" t="s">
        <v>10084</v>
      </c>
      <c r="G638" t="s">
        <v>74</v>
      </c>
      <c r="H638" t="s">
        <v>74</v>
      </c>
      <c r="I638" t="s">
        <v>10085</v>
      </c>
      <c r="J638" t="s">
        <v>7251</v>
      </c>
      <c r="K638" t="s">
        <v>74</v>
      </c>
      <c r="L638" t="s">
        <v>74</v>
      </c>
      <c r="M638" t="s">
        <v>78</v>
      </c>
      <c r="N638" t="s">
        <v>79</v>
      </c>
      <c r="O638" t="s">
        <v>74</v>
      </c>
      <c r="P638" t="s">
        <v>74</v>
      </c>
      <c r="Q638" t="s">
        <v>74</v>
      </c>
      <c r="R638" t="s">
        <v>74</v>
      </c>
      <c r="S638" t="s">
        <v>74</v>
      </c>
      <c r="T638" t="s">
        <v>74</v>
      </c>
      <c r="U638" t="s">
        <v>10086</v>
      </c>
      <c r="V638" t="s">
        <v>10087</v>
      </c>
      <c r="W638" t="s">
        <v>10088</v>
      </c>
      <c r="X638" t="s">
        <v>10089</v>
      </c>
      <c r="Y638" t="s">
        <v>10090</v>
      </c>
      <c r="Z638" t="s">
        <v>10091</v>
      </c>
      <c r="AA638" t="s">
        <v>10092</v>
      </c>
      <c r="AB638" t="s">
        <v>10093</v>
      </c>
      <c r="AC638" t="s">
        <v>74</v>
      </c>
      <c r="AD638" t="s">
        <v>74</v>
      </c>
      <c r="AE638" t="s">
        <v>74</v>
      </c>
      <c r="AF638" t="s">
        <v>74</v>
      </c>
      <c r="AG638">
        <v>20</v>
      </c>
      <c r="AH638">
        <v>41</v>
      </c>
      <c r="AI638">
        <v>41</v>
      </c>
      <c r="AJ638">
        <v>1</v>
      </c>
      <c r="AK638">
        <v>9</v>
      </c>
      <c r="AL638" t="s">
        <v>7239</v>
      </c>
      <c r="AM638" t="s">
        <v>5498</v>
      </c>
      <c r="AN638" t="s">
        <v>7240</v>
      </c>
      <c r="AO638" t="s">
        <v>7257</v>
      </c>
      <c r="AP638" t="s">
        <v>7394</v>
      </c>
      <c r="AQ638" t="s">
        <v>74</v>
      </c>
      <c r="AR638" t="s">
        <v>7258</v>
      </c>
      <c r="AS638" t="s">
        <v>7259</v>
      </c>
      <c r="AT638" t="s">
        <v>10079</v>
      </c>
      <c r="AU638">
        <v>2006</v>
      </c>
      <c r="AV638">
        <v>33</v>
      </c>
      <c r="AW638">
        <v>21</v>
      </c>
      <c r="AX638" t="s">
        <v>74</v>
      </c>
      <c r="AY638" t="s">
        <v>74</v>
      </c>
      <c r="AZ638" t="s">
        <v>74</v>
      </c>
      <c r="BA638" t="s">
        <v>74</v>
      </c>
      <c r="BB638" t="s">
        <v>74</v>
      </c>
      <c r="BC638" t="s">
        <v>74</v>
      </c>
      <c r="BD638" t="s">
        <v>10094</v>
      </c>
      <c r="BE638" t="s">
        <v>10095</v>
      </c>
      <c r="BF638" t="str">
        <f>HYPERLINK("http://dx.doi.org/10.1029/2006GL026820","http://dx.doi.org/10.1029/2006GL026820")</f>
        <v>http://dx.doi.org/10.1029/2006GL026820</v>
      </c>
      <c r="BG638" t="s">
        <v>74</v>
      </c>
      <c r="BH638" t="s">
        <v>74</v>
      </c>
      <c r="BI638">
        <v>4</v>
      </c>
      <c r="BJ638" t="s">
        <v>685</v>
      </c>
      <c r="BK638" t="s">
        <v>97</v>
      </c>
      <c r="BL638" t="s">
        <v>642</v>
      </c>
      <c r="BM638" t="s">
        <v>10096</v>
      </c>
      <c r="BN638" t="s">
        <v>74</v>
      </c>
      <c r="BO638" t="s">
        <v>124</v>
      </c>
      <c r="BP638" t="s">
        <v>74</v>
      </c>
      <c r="BQ638" t="s">
        <v>74</v>
      </c>
      <c r="BR638" t="s">
        <v>100</v>
      </c>
      <c r="BS638" t="s">
        <v>10097</v>
      </c>
      <c r="BT638" t="str">
        <f>HYPERLINK("https%3A%2F%2Fwww.webofscience.com%2Fwos%2Fwoscc%2Ffull-record%2FWOS:000241982800001","View Full Record in Web of Science")</f>
        <v>View Full Record in Web of Science</v>
      </c>
    </row>
    <row r="639" spans="1:72" x14ac:dyDescent="0.15">
      <c r="A639" t="s">
        <v>72</v>
      </c>
      <c r="B639" t="s">
        <v>10098</v>
      </c>
      <c r="C639" t="s">
        <v>74</v>
      </c>
      <c r="D639" t="s">
        <v>74</v>
      </c>
      <c r="E639" t="s">
        <v>74</v>
      </c>
      <c r="F639" t="s">
        <v>10099</v>
      </c>
      <c r="G639" t="s">
        <v>74</v>
      </c>
      <c r="H639" t="s">
        <v>74</v>
      </c>
      <c r="I639" t="s">
        <v>10100</v>
      </c>
      <c r="J639" t="s">
        <v>7439</v>
      </c>
      <c r="K639" t="s">
        <v>74</v>
      </c>
      <c r="L639" t="s">
        <v>74</v>
      </c>
      <c r="M639" t="s">
        <v>78</v>
      </c>
      <c r="N639" t="s">
        <v>79</v>
      </c>
      <c r="O639" t="s">
        <v>74</v>
      </c>
      <c r="P639" t="s">
        <v>74</v>
      </c>
      <c r="Q639" t="s">
        <v>74</v>
      </c>
      <c r="R639" t="s">
        <v>74</v>
      </c>
      <c r="S639" t="s">
        <v>74</v>
      </c>
      <c r="T639" t="s">
        <v>74</v>
      </c>
      <c r="U639" t="s">
        <v>10101</v>
      </c>
      <c r="V639" t="s">
        <v>10102</v>
      </c>
      <c r="W639" t="s">
        <v>10103</v>
      </c>
      <c r="X639" t="s">
        <v>10104</v>
      </c>
      <c r="Y639" t="s">
        <v>10105</v>
      </c>
      <c r="Z639" t="s">
        <v>10106</v>
      </c>
      <c r="AA639" t="s">
        <v>10107</v>
      </c>
      <c r="AB639" t="s">
        <v>10108</v>
      </c>
      <c r="AC639" t="s">
        <v>74</v>
      </c>
      <c r="AD639" t="s">
        <v>74</v>
      </c>
      <c r="AE639" t="s">
        <v>74</v>
      </c>
      <c r="AF639" t="s">
        <v>74</v>
      </c>
      <c r="AG639">
        <v>48</v>
      </c>
      <c r="AH639">
        <v>28</v>
      </c>
      <c r="AI639">
        <v>29</v>
      </c>
      <c r="AJ639">
        <v>0</v>
      </c>
      <c r="AK639">
        <v>3</v>
      </c>
      <c r="AL639" t="s">
        <v>7239</v>
      </c>
      <c r="AM639" t="s">
        <v>5498</v>
      </c>
      <c r="AN639" t="s">
        <v>7240</v>
      </c>
      <c r="AO639" t="s">
        <v>7448</v>
      </c>
      <c r="AP639" t="s">
        <v>7449</v>
      </c>
      <c r="AQ639" t="s">
        <v>74</v>
      </c>
      <c r="AR639" t="s">
        <v>7450</v>
      </c>
      <c r="AS639" t="s">
        <v>7451</v>
      </c>
      <c r="AT639" t="s">
        <v>10079</v>
      </c>
      <c r="AU639">
        <v>2006</v>
      </c>
      <c r="AV639">
        <v>111</v>
      </c>
      <c r="AW639" t="s">
        <v>9938</v>
      </c>
      <c r="AX639" t="s">
        <v>74</v>
      </c>
      <c r="AY639" t="s">
        <v>74</v>
      </c>
      <c r="AZ639" t="s">
        <v>74</v>
      </c>
      <c r="BA639" t="s">
        <v>74</v>
      </c>
      <c r="BB639" t="s">
        <v>74</v>
      </c>
      <c r="BC639" t="s">
        <v>74</v>
      </c>
      <c r="BD639" t="s">
        <v>10109</v>
      </c>
      <c r="BE639" t="s">
        <v>10110</v>
      </c>
      <c r="BF639" t="str">
        <f>HYPERLINK("http://dx.doi.org/10.1029/2005JD006764","http://dx.doi.org/10.1029/2005JD006764")</f>
        <v>http://dx.doi.org/10.1029/2005JD006764</v>
      </c>
      <c r="BG639" t="s">
        <v>74</v>
      </c>
      <c r="BH639" t="s">
        <v>74</v>
      </c>
      <c r="BI639">
        <v>6</v>
      </c>
      <c r="BJ639" t="s">
        <v>3208</v>
      </c>
      <c r="BK639" t="s">
        <v>97</v>
      </c>
      <c r="BL639" t="s">
        <v>3208</v>
      </c>
      <c r="BM639" t="s">
        <v>10111</v>
      </c>
      <c r="BN639" t="s">
        <v>74</v>
      </c>
      <c r="BO639" t="s">
        <v>124</v>
      </c>
      <c r="BP639" t="s">
        <v>74</v>
      </c>
      <c r="BQ639" t="s">
        <v>74</v>
      </c>
      <c r="BR639" t="s">
        <v>100</v>
      </c>
      <c r="BS639" t="s">
        <v>10112</v>
      </c>
      <c r="BT639" t="str">
        <f>HYPERLINK("https%3A%2F%2Fwww.webofscience.com%2Fwos%2Fwoscc%2Ffull-record%2FWOS:000241984100001","View Full Record in Web of Science")</f>
        <v>View Full Record in Web of Science</v>
      </c>
    </row>
    <row r="640" spans="1:72" x14ac:dyDescent="0.15">
      <c r="A640" t="s">
        <v>72</v>
      </c>
      <c r="B640" t="s">
        <v>10113</v>
      </c>
      <c r="C640" t="s">
        <v>74</v>
      </c>
      <c r="D640" t="s">
        <v>74</v>
      </c>
      <c r="E640" t="s">
        <v>74</v>
      </c>
      <c r="F640" t="s">
        <v>10114</v>
      </c>
      <c r="G640" t="s">
        <v>74</v>
      </c>
      <c r="H640" t="s">
        <v>74</v>
      </c>
      <c r="I640" t="s">
        <v>10115</v>
      </c>
      <c r="J640" t="s">
        <v>9700</v>
      </c>
      <c r="K640" t="s">
        <v>74</v>
      </c>
      <c r="L640" t="s">
        <v>74</v>
      </c>
      <c r="M640" t="s">
        <v>78</v>
      </c>
      <c r="N640" t="s">
        <v>79</v>
      </c>
      <c r="O640" t="s">
        <v>74</v>
      </c>
      <c r="P640" t="s">
        <v>74</v>
      </c>
      <c r="Q640" t="s">
        <v>74</v>
      </c>
      <c r="R640" t="s">
        <v>74</v>
      </c>
      <c r="S640" t="s">
        <v>74</v>
      </c>
      <c r="T640" t="s">
        <v>10116</v>
      </c>
      <c r="U640" t="s">
        <v>10117</v>
      </c>
      <c r="V640" t="s">
        <v>10118</v>
      </c>
      <c r="W640" t="s">
        <v>10119</v>
      </c>
      <c r="X640" t="s">
        <v>10120</v>
      </c>
      <c r="Y640" t="s">
        <v>10121</v>
      </c>
      <c r="Z640" t="s">
        <v>10122</v>
      </c>
      <c r="AA640" t="s">
        <v>74</v>
      </c>
      <c r="AB640" t="s">
        <v>74</v>
      </c>
      <c r="AC640" t="s">
        <v>10123</v>
      </c>
      <c r="AD640" t="s">
        <v>1254</v>
      </c>
      <c r="AE640" t="s">
        <v>74</v>
      </c>
      <c r="AF640" t="s">
        <v>74</v>
      </c>
      <c r="AG640">
        <v>26</v>
      </c>
      <c r="AH640">
        <v>13</v>
      </c>
      <c r="AI640">
        <v>15</v>
      </c>
      <c r="AJ640">
        <v>1</v>
      </c>
      <c r="AK640">
        <v>8</v>
      </c>
      <c r="AL640" t="s">
        <v>2829</v>
      </c>
      <c r="AM640" t="s">
        <v>903</v>
      </c>
      <c r="AN640" t="s">
        <v>2830</v>
      </c>
      <c r="AO640" t="s">
        <v>9708</v>
      </c>
      <c r="AP640" t="s">
        <v>9709</v>
      </c>
      <c r="AQ640" t="s">
        <v>74</v>
      </c>
      <c r="AR640" t="s">
        <v>9710</v>
      </c>
      <c r="AS640" t="s">
        <v>9711</v>
      </c>
      <c r="AT640" t="s">
        <v>10079</v>
      </c>
      <c r="AU640">
        <v>2006</v>
      </c>
      <c r="AV640">
        <v>232</v>
      </c>
      <c r="AW640" t="s">
        <v>1283</v>
      </c>
      <c r="AX640" t="s">
        <v>74</v>
      </c>
      <c r="AY640" t="s">
        <v>74</v>
      </c>
      <c r="AZ640" t="s">
        <v>74</v>
      </c>
      <c r="BA640" t="s">
        <v>74</v>
      </c>
      <c r="BB640">
        <v>173</v>
      </c>
      <c r="BC640">
        <v>180</v>
      </c>
      <c r="BD640" t="s">
        <v>74</v>
      </c>
      <c r="BE640" t="s">
        <v>10124</v>
      </c>
      <c r="BF640" t="str">
        <f>HYPERLINK("http://dx.doi.org/10.1016/j.margeo.2006.07.006","http://dx.doi.org/10.1016/j.margeo.2006.07.006")</f>
        <v>http://dx.doi.org/10.1016/j.margeo.2006.07.006</v>
      </c>
      <c r="BG640" t="s">
        <v>74</v>
      </c>
      <c r="BH640" t="s">
        <v>74</v>
      </c>
      <c r="BI640">
        <v>8</v>
      </c>
      <c r="BJ640" t="s">
        <v>9714</v>
      </c>
      <c r="BK640" t="s">
        <v>97</v>
      </c>
      <c r="BL640" t="s">
        <v>6300</v>
      </c>
      <c r="BM640" t="s">
        <v>10125</v>
      </c>
      <c r="BN640" t="s">
        <v>74</v>
      </c>
      <c r="BO640" t="s">
        <v>74</v>
      </c>
      <c r="BP640" t="s">
        <v>74</v>
      </c>
      <c r="BQ640" t="s">
        <v>74</v>
      </c>
      <c r="BR640" t="s">
        <v>100</v>
      </c>
      <c r="BS640" t="s">
        <v>10126</v>
      </c>
      <c r="BT640" t="str">
        <f>HYPERLINK("https%3A%2F%2Fwww.webofscience.com%2Fwos%2Fwoscc%2Ffull-record%2FWOS:000242336600004","View Full Record in Web of Science")</f>
        <v>View Full Record in Web of Science</v>
      </c>
    </row>
    <row r="641" spans="1:72" x14ac:dyDescent="0.15">
      <c r="A641" t="s">
        <v>72</v>
      </c>
      <c r="B641" t="s">
        <v>10127</v>
      </c>
      <c r="C641" t="s">
        <v>74</v>
      </c>
      <c r="D641" t="s">
        <v>74</v>
      </c>
      <c r="E641" t="s">
        <v>74</v>
      </c>
      <c r="F641" t="s">
        <v>10128</v>
      </c>
      <c r="G641" t="s">
        <v>74</v>
      </c>
      <c r="H641" t="s">
        <v>74</v>
      </c>
      <c r="I641" t="s">
        <v>10129</v>
      </c>
      <c r="J641" t="s">
        <v>10130</v>
      </c>
      <c r="K641" t="s">
        <v>74</v>
      </c>
      <c r="L641" t="s">
        <v>74</v>
      </c>
      <c r="M641" t="s">
        <v>78</v>
      </c>
      <c r="N641" t="s">
        <v>366</v>
      </c>
      <c r="O641" t="s">
        <v>74</v>
      </c>
      <c r="P641" t="s">
        <v>74</v>
      </c>
      <c r="Q641" t="s">
        <v>74</v>
      </c>
      <c r="R641" t="s">
        <v>74</v>
      </c>
      <c r="S641" t="s">
        <v>74</v>
      </c>
      <c r="T641" t="s">
        <v>10131</v>
      </c>
      <c r="U641" t="s">
        <v>10132</v>
      </c>
      <c r="V641" t="s">
        <v>10133</v>
      </c>
      <c r="W641" t="s">
        <v>10134</v>
      </c>
      <c r="X641" t="s">
        <v>10135</v>
      </c>
      <c r="Y641" t="s">
        <v>10136</v>
      </c>
      <c r="Z641" t="s">
        <v>10137</v>
      </c>
      <c r="AA641" t="s">
        <v>10138</v>
      </c>
      <c r="AB641" t="s">
        <v>10139</v>
      </c>
      <c r="AC641" t="s">
        <v>74</v>
      </c>
      <c r="AD641" t="s">
        <v>74</v>
      </c>
      <c r="AE641" t="s">
        <v>74</v>
      </c>
      <c r="AF641" t="s">
        <v>74</v>
      </c>
      <c r="AG641">
        <v>80</v>
      </c>
      <c r="AH641">
        <v>60</v>
      </c>
      <c r="AI641">
        <v>72</v>
      </c>
      <c r="AJ641">
        <v>0</v>
      </c>
      <c r="AK641">
        <v>33</v>
      </c>
      <c r="AL641" t="s">
        <v>10140</v>
      </c>
      <c r="AM641" t="s">
        <v>1197</v>
      </c>
      <c r="AN641" t="s">
        <v>10141</v>
      </c>
      <c r="AO641" t="s">
        <v>10142</v>
      </c>
      <c r="AP641" t="s">
        <v>10143</v>
      </c>
      <c r="AQ641" t="s">
        <v>74</v>
      </c>
      <c r="AR641" t="s">
        <v>10144</v>
      </c>
      <c r="AS641" t="s">
        <v>10145</v>
      </c>
      <c r="AT641" t="s">
        <v>10079</v>
      </c>
      <c r="AU641">
        <v>2006</v>
      </c>
      <c r="AV641">
        <v>273</v>
      </c>
      <c r="AW641">
        <v>1602</v>
      </c>
      <c r="AX641" t="s">
        <v>74</v>
      </c>
      <c r="AY641" t="s">
        <v>74</v>
      </c>
      <c r="AZ641" t="s">
        <v>74</v>
      </c>
      <c r="BA641" t="s">
        <v>74</v>
      </c>
      <c r="BB641">
        <v>2687</v>
      </c>
      <c r="BC641">
        <v>2695</v>
      </c>
      <c r="BD641" t="s">
        <v>74</v>
      </c>
      <c r="BE641" t="s">
        <v>10146</v>
      </c>
      <c r="BF641" t="str">
        <f>HYPERLINK("http://dx.doi.org/10.1098/rspb.2006.3595","http://dx.doi.org/10.1098/rspb.2006.3595")</f>
        <v>http://dx.doi.org/10.1098/rspb.2006.3595</v>
      </c>
      <c r="BG641" t="s">
        <v>74</v>
      </c>
      <c r="BH641" t="s">
        <v>74</v>
      </c>
      <c r="BI641">
        <v>9</v>
      </c>
      <c r="BJ641" t="s">
        <v>10147</v>
      </c>
      <c r="BK641" t="s">
        <v>97</v>
      </c>
      <c r="BL641" t="s">
        <v>10148</v>
      </c>
      <c r="BM641" t="s">
        <v>10149</v>
      </c>
      <c r="BN641">
        <v>17015369</v>
      </c>
      <c r="BO641" t="s">
        <v>7456</v>
      </c>
      <c r="BP641" t="s">
        <v>74</v>
      </c>
      <c r="BQ641" t="s">
        <v>74</v>
      </c>
      <c r="BR641" t="s">
        <v>100</v>
      </c>
      <c r="BS641" t="s">
        <v>10150</v>
      </c>
      <c r="BT641" t="str">
        <f>HYPERLINK("https%3A%2F%2Fwww.webofscience.com%2Fwos%2Fwoscc%2Ffull-record%2FWOS:000241628500001","View Full Record in Web of Science")</f>
        <v>View Full Record in Web of Science</v>
      </c>
    </row>
    <row r="642" spans="1:72" x14ac:dyDescent="0.15">
      <c r="A642" t="s">
        <v>72</v>
      </c>
      <c r="B642" t="s">
        <v>10151</v>
      </c>
      <c r="C642" t="s">
        <v>74</v>
      </c>
      <c r="D642" t="s">
        <v>74</v>
      </c>
      <c r="E642" t="s">
        <v>74</v>
      </c>
      <c r="F642" t="s">
        <v>10152</v>
      </c>
      <c r="G642" t="s">
        <v>74</v>
      </c>
      <c r="H642" t="s">
        <v>74</v>
      </c>
      <c r="I642" t="s">
        <v>10153</v>
      </c>
      <c r="J642" t="s">
        <v>7231</v>
      </c>
      <c r="K642" t="s">
        <v>74</v>
      </c>
      <c r="L642" t="s">
        <v>74</v>
      </c>
      <c r="M642" t="s">
        <v>78</v>
      </c>
      <c r="N642" t="s">
        <v>366</v>
      </c>
      <c r="O642" t="s">
        <v>74</v>
      </c>
      <c r="P642" t="s">
        <v>74</v>
      </c>
      <c r="Q642" t="s">
        <v>74</v>
      </c>
      <c r="R642" t="s">
        <v>74</v>
      </c>
      <c r="S642" t="s">
        <v>74</v>
      </c>
      <c r="T642" t="s">
        <v>10154</v>
      </c>
      <c r="U642" t="s">
        <v>10155</v>
      </c>
      <c r="V642" t="s">
        <v>10156</v>
      </c>
      <c r="W642" t="s">
        <v>10157</v>
      </c>
      <c r="X642" t="s">
        <v>10158</v>
      </c>
      <c r="Y642" t="s">
        <v>10159</v>
      </c>
      <c r="Z642" t="s">
        <v>10160</v>
      </c>
      <c r="AA642" t="s">
        <v>10161</v>
      </c>
      <c r="AB642" t="s">
        <v>10162</v>
      </c>
      <c r="AC642" t="s">
        <v>74</v>
      </c>
      <c r="AD642" t="s">
        <v>74</v>
      </c>
      <c r="AE642" t="s">
        <v>74</v>
      </c>
      <c r="AF642" t="s">
        <v>74</v>
      </c>
      <c r="AG642">
        <v>112</v>
      </c>
      <c r="AH642">
        <v>50</v>
      </c>
      <c r="AI642">
        <v>51</v>
      </c>
      <c r="AJ642">
        <v>0</v>
      </c>
      <c r="AK642">
        <v>14</v>
      </c>
      <c r="AL642" t="s">
        <v>7239</v>
      </c>
      <c r="AM642" t="s">
        <v>5498</v>
      </c>
      <c r="AN642" t="s">
        <v>7240</v>
      </c>
      <c r="AO642" t="s">
        <v>74</v>
      </c>
      <c r="AP642" t="s">
        <v>7241</v>
      </c>
      <c r="AQ642" t="s">
        <v>74</v>
      </c>
      <c r="AR642" t="s">
        <v>7242</v>
      </c>
      <c r="AS642" t="s">
        <v>7243</v>
      </c>
      <c r="AT642" t="s">
        <v>10163</v>
      </c>
      <c r="AU642">
        <v>2006</v>
      </c>
      <c r="AV642">
        <v>7</v>
      </c>
      <c r="AW642" t="s">
        <v>74</v>
      </c>
      <c r="AX642" t="s">
        <v>74</v>
      </c>
      <c r="AY642" t="s">
        <v>74</v>
      </c>
      <c r="AZ642" t="s">
        <v>74</v>
      </c>
      <c r="BA642" t="s">
        <v>74</v>
      </c>
      <c r="BB642" t="s">
        <v>74</v>
      </c>
      <c r="BC642" t="s">
        <v>74</v>
      </c>
      <c r="BD642" t="s">
        <v>10164</v>
      </c>
      <c r="BE642" t="s">
        <v>10165</v>
      </c>
      <c r="BF642" t="str">
        <f>HYPERLINK("http://dx.doi.org/10.1029/2005GC001228","http://dx.doi.org/10.1029/2005GC001228")</f>
        <v>http://dx.doi.org/10.1029/2005GC001228</v>
      </c>
      <c r="BG642" t="s">
        <v>74</v>
      </c>
      <c r="BH642" t="s">
        <v>74</v>
      </c>
      <c r="BI642">
        <v>22</v>
      </c>
      <c r="BJ642" t="s">
        <v>865</v>
      </c>
      <c r="BK642" t="s">
        <v>97</v>
      </c>
      <c r="BL642" t="s">
        <v>865</v>
      </c>
      <c r="BM642" t="s">
        <v>10166</v>
      </c>
      <c r="BN642" t="s">
        <v>74</v>
      </c>
      <c r="BO642" t="s">
        <v>10167</v>
      </c>
      <c r="BP642" t="s">
        <v>74</v>
      </c>
      <c r="BQ642" t="s">
        <v>74</v>
      </c>
      <c r="BR642" t="s">
        <v>100</v>
      </c>
      <c r="BS642" t="s">
        <v>10168</v>
      </c>
      <c r="BT642" t="str">
        <f>HYPERLINK("https%3A%2F%2Fwww.webofscience.com%2Fwos%2Fwoscc%2Ffull-record%2FWOS:000241865500001","View Full Record in Web of Science")</f>
        <v>View Full Record in Web of Science</v>
      </c>
    </row>
    <row r="643" spans="1:72" x14ac:dyDescent="0.15">
      <c r="A643" t="s">
        <v>72</v>
      </c>
      <c r="B643" t="s">
        <v>10169</v>
      </c>
      <c r="C643" t="s">
        <v>74</v>
      </c>
      <c r="D643" t="s">
        <v>74</v>
      </c>
      <c r="E643" t="s">
        <v>74</v>
      </c>
      <c r="F643" t="s">
        <v>10170</v>
      </c>
      <c r="G643" t="s">
        <v>74</v>
      </c>
      <c r="H643" t="s">
        <v>74</v>
      </c>
      <c r="I643" t="s">
        <v>10171</v>
      </c>
      <c r="J643" t="s">
        <v>7439</v>
      </c>
      <c r="K643" t="s">
        <v>74</v>
      </c>
      <c r="L643" t="s">
        <v>74</v>
      </c>
      <c r="M643" t="s">
        <v>78</v>
      </c>
      <c r="N643" t="s">
        <v>79</v>
      </c>
      <c r="O643" t="s">
        <v>74</v>
      </c>
      <c r="P643" t="s">
        <v>74</v>
      </c>
      <c r="Q643" t="s">
        <v>74</v>
      </c>
      <c r="R643" t="s">
        <v>74</v>
      </c>
      <c r="S643" t="s">
        <v>74</v>
      </c>
      <c r="T643" t="s">
        <v>74</v>
      </c>
      <c r="U643" t="s">
        <v>10172</v>
      </c>
      <c r="V643" t="s">
        <v>10173</v>
      </c>
      <c r="W643" t="s">
        <v>10174</v>
      </c>
      <c r="X643" t="s">
        <v>10175</v>
      </c>
      <c r="Y643" t="s">
        <v>10176</v>
      </c>
      <c r="Z643" t="s">
        <v>10177</v>
      </c>
      <c r="AA643" t="s">
        <v>10178</v>
      </c>
      <c r="AB643" t="s">
        <v>10179</v>
      </c>
      <c r="AC643" t="s">
        <v>74</v>
      </c>
      <c r="AD643" t="s">
        <v>74</v>
      </c>
      <c r="AE643" t="s">
        <v>74</v>
      </c>
      <c r="AF643" t="s">
        <v>74</v>
      </c>
      <c r="AG643">
        <v>59</v>
      </c>
      <c r="AH643">
        <v>37</v>
      </c>
      <c r="AI643">
        <v>40</v>
      </c>
      <c r="AJ643">
        <v>0</v>
      </c>
      <c r="AK643">
        <v>8</v>
      </c>
      <c r="AL643" t="s">
        <v>7239</v>
      </c>
      <c r="AM643" t="s">
        <v>5498</v>
      </c>
      <c r="AN643" t="s">
        <v>7240</v>
      </c>
      <c r="AO643" t="s">
        <v>7448</v>
      </c>
      <c r="AP643" t="s">
        <v>74</v>
      </c>
      <c r="AQ643" t="s">
        <v>74</v>
      </c>
      <c r="AR643" t="s">
        <v>7450</v>
      </c>
      <c r="AS643" t="s">
        <v>7451</v>
      </c>
      <c r="AT643" t="s">
        <v>10163</v>
      </c>
      <c r="AU643">
        <v>2006</v>
      </c>
      <c r="AV643">
        <v>111</v>
      </c>
      <c r="AW643" t="s">
        <v>9938</v>
      </c>
      <c r="AX643" t="s">
        <v>74</v>
      </c>
      <c r="AY643" t="s">
        <v>74</v>
      </c>
      <c r="AZ643" t="s">
        <v>74</v>
      </c>
      <c r="BA643" t="s">
        <v>74</v>
      </c>
      <c r="BB643" t="s">
        <v>74</v>
      </c>
      <c r="BC643" t="s">
        <v>74</v>
      </c>
      <c r="BD643" t="s">
        <v>10180</v>
      </c>
      <c r="BE643" t="s">
        <v>10181</v>
      </c>
      <c r="BF643" t="str">
        <f>HYPERLINK("http://dx.doi.org/10.1029/2005JD006816","http://dx.doi.org/10.1029/2005JD006816")</f>
        <v>http://dx.doi.org/10.1029/2005JD006816</v>
      </c>
      <c r="BG643" t="s">
        <v>74</v>
      </c>
      <c r="BH643" t="s">
        <v>74</v>
      </c>
      <c r="BI643">
        <v>18</v>
      </c>
      <c r="BJ643" t="s">
        <v>3208</v>
      </c>
      <c r="BK643" t="s">
        <v>97</v>
      </c>
      <c r="BL643" t="s">
        <v>3208</v>
      </c>
      <c r="BM643" t="s">
        <v>10182</v>
      </c>
      <c r="BN643" t="s">
        <v>74</v>
      </c>
      <c r="BO643" t="s">
        <v>124</v>
      </c>
      <c r="BP643" t="s">
        <v>74</v>
      </c>
      <c r="BQ643" t="s">
        <v>74</v>
      </c>
      <c r="BR643" t="s">
        <v>100</v>
      </c>
      <c r="BS643" t="s">
        <v>10183</v>
      </c>
      <c r="BT643" t="str">
        <f>HYPERLINK("https%3A%2F%2Fwww.webofscience.com%2Fwos%2Fwoscc%2Ffull-record%2FWOS:000241866400001","View Full Record in Web of Science")</f>
        <v>View Full Record in Web of Science</v>
      </c>
    </row>
    <row r="644" spans="1:72" x14ac:dyDescent="0.15">
      <c r="A644" t="s">
        <v>72</v>
      </c>
      <c r="B644" t="s">
        <v>10184</v>
      </c>
      <c r="C644" t="s">
        <v>74</v>
      </c>
      <c r="D644" t="s">
        <v>74</v>
      </c>
      <c r="E644" t="s">
        <v>74</v>
      </c>
      <c r="F644" t="s">
        <v>10185</v>
      </c>
      <c r="G644" t="s">
        <v>74</v>
      </c>
      <c r="H644" t="s">
        <v>74</v>
      </c>
      <c r="I644" t="s">
        <v>10186</v>
      </c>
      <c r="J644" t="s">
        <v>10187</v>
      </c>
      <c r="K644" t="s">
        <v>74</v>
      </c>
      <c r="L644" t="s">
        <v>74</v>
      </c>
      <c r="M644" t="s">
        <v>78</v>
      </c>
      <c r="N644" t="s">
        <v>79</v>
      </c>
      <c r="O644" t="s">
        <v>74</v>
      </c>
      <c r="P644" t="s">
        <v>74</v>
      </c>
      <c r="Q644" t="s">
        <v>74</v>
      </c>
      <c r="R644" t="s">
        <v>74</v>
      </c>
      <c r="S644" t="s">
        <v>74</v>
      </c>
      <c r="T644" t="s">
        <v>74</v>
      </c>
      <c r="U644" t="s">
        <v>74</v>
      </c>
      <c r="V644" t="s">
        <v>10188</v>
      </c>
      <c r="W644" t="s">
        <v>10189</v>
      </c>
      <c r="X644" t="s">
        <v>4255</v>
      </c>
      <c r="Y644" t="s">
        <v>10190</v>
      </c>
      <c r="Z644" t="s">
        <v>10191</v>
      </c>
      <c r="AA644" t="s">
        <v>74</v>
      </c>
      <c r="AB644" t="s">
        <v>74</v>
      </c>
      <c r="AC644" t="s">
        <v>74</v>
      </c>
      <c r="AD644" t="s">
        <v>74</v>
      </c>
      <c r="AE644" t="s">
        <v>74</v>
      </c>
      <c r="AF644" t="s">
        <v>74</v>
      </c>
      <c r="AG644">
        <v>15</v>
      </c>
      <c r="AH644">
        <v>8</v>
      </c>
      <c r="AI644">
        <v>11</v>
      </c>
      <c r="AJ644">
        <v>0</v>
      </c>
      <c r="AK644">
        <v>1</v>
      </c>
      <c r="AL644" t="s">
        <v>10192</v>
      </c>
      <c r="AM644" t="s">
        <v>10193</v>
      </c>
      <c r="AN644" t="s">
        <v>10194</v>
      </c>
      <c r="AO644" t="s">
        <v>10195</v>
      </c>
      <c r="AP644" t="s">
        <v>74</v>
      </c>
      <c r="AQ644" t="s">
        <v>74</v>
      </c>
      <c r="AR644" t="s">
        <v>10187</v>
      </c>
      <c r="AS644" t="s">
        <v>10196</v>
      </c>
      <c r="AT644" t="s">
        <v>10197</v>
      </c>
      <c r="AU644">
        <v>2006</v>
      </c>
      <c r="AV644">
        <v>48</v>
      </c>
      <c r="AW644">
        <v>3</v>
      </c>
      <c r="AX644" t="s">
        <v>74</v>
      </c>
      <c r="AY644" t="s">
        <v>74</v>
      </c>
      <c r="AZ644" t="s">
        <v>74</v>
      </c>
      <c r="BA644" t="s">
        <v>74</v>
      </c>
      <c r="BB644">
        <v>170</v>
      </c>
      <c r="BC644">
        <v>177</v>
      </c>
      <c r="BD644" t="s">
        <v>74</v>
      </c>
      <c r="BE644" t="s">
        <v>74</v>
      </c>
      <c r="BF644" t="s">
        <v>74</v>
      </c>
      <c r="BG644" t="s">
        <v>74</v>
      </c>
      <c r="BH644" t="s">
        <v>74</v>
      </c>
      <c r="BI644">
        <v>8</v>
      </c>
      <c r="BJ644" t="s">
        <v>10198</v>
      </c>
      <c r="BK644" t="s">
        <v>97</v>
      </c>
      <c r="BL644" t="s">
        <v>10198</v>
      </c>
      <c r="BM644" t="s">
        <v>10199</v>
      </c>
      <c r="BN644" t="s">
        <v>74</v>
      </c>
      <c r="BO644" t="s">
        <v>74</v>
      </c>
      <c r="BP644" t="s">
        <v>74</v>
      </c>
      <c r="BQ644" t="s">
        <v>74</v>
      </c>
      <c r="BR644" t="s">
        <v>100</v>
      </c>
      <c r="BS644" t="s">
        <v>10200</v>
      </c>
      <c r="BT644" t="str">
        <f>HYPERLINK("https%3A%2F%2Fwww.webofscience.com%2Fwos%2Fwoscc%2Ffull-record%2FWOS:000241940000005","View Full Record in Web of Science")</f>
        <v>View Full Record in Web of Science</v>
      </c>
    </row>
    <row r="645" spans="1:72" x14ac:dyDescent="0.15">
      <c r="A645" t="s">
        <v>72</v>
      </c>
      <c r="B645" t="s">
        <v>10201</v>
      </c>
      <c r="C645" t="s">
        <v>74</v>
      </c>
      <c r="D645" t="s">
        <v>74</v>
      </c>
      <c r="E645" t="s">
        <v>74</v>
      </c>
      <c r="F645" t="s">
        <v>10202</v>
      </c>
      <c r="G645" t="s">
        <v>74</v>
      </c>
      <c r="H645" t="s">
        <v>74</v>
      </c>
      <c r="I645" t="s">
        <v>10203</v>
      </c>
      <c r="J645" t="s">
        <v>10204</v>
      </c>
      <c r="K645" t="s">
        <v>74</v>
      </c>
      <c r="L645" t="s">
        <v>74</v>
      </c>
      <c r="M645" t="s">
        <v>78</v>
      </c>
      <c r="N645" t="s">
        <v>176</v>
      </c>
      <c r="O645" t="s">
        <v>10205</v>
      </c>
      <c r="P645" t="s">
        <v>10206</v>
      </c>
      <c r="Q645" t="s">
        <v>606</v>
      </c>
      <c r="R645" t="s">
        <v>74</v>
      </c>
      <c r="S645" t="s">
        <v>74</v>
      </c>
      <c r="T645" t="s">
        <v>10207</v>
      </c>
      <c r="U645" t="s">
        <v>10208</v>
      </c>
      <c r="V645" t="s">
        <v>10209</v>
      </c>
      <c r="W645" t="s">
        <v>10210</v>
      </c>
      <c r="X645" t="s">
        <v>10211</v>
      </c>
      <c r="Y645" t="s">
        <v>10212</v>
      </c>
      <c r="Z645" t="s">
        <v>10213</v>
      </c>
      <c r="AA645" t="s">
        <v>74</v>
      </c>
      <c r="AB645" t="s">
        <v>74</v>
      </c>
      <c r="AC645" t="s">
        <v>74</v>
      </c>
      <c r="AD645" t="s">
        <v>74</v>
      </c>
      <c r="AE645" t="s">
        <v>74</v>
      </c>
      <c r="AF645" t="s">
        <v>74</v>
      </c>
      <c r="AG645">
        <v>79</v>
      </c>
      <c r="AH645">
        <v>7</v>
      </c>
      <c r="AI645">
        <v>9</v>
      </c>
      <c r="AJ645">
        <v>0</v>
      </c>
      <c r="AK645">
        <v>10</v>
      </c>
      <c r="AL645" t="s">
        <v>859</v>
      </c>
      <c r="AM645" t="s">
        <v>860</v>
      </c>
      <c r="AN645" t="s">
        <v>861</v>
      </c>
      <c r="AO645" t="s">
        <v>10214</v>
      </c>
      <c r="AP645" t="s">
        <v>10215</v>
      </c>
      <c r="AQ645" t="s">
        <v>74</v>
      </c>
      <c r="AR645" t="s">
        <v>10216</v>
      </c>
      <c r="AS645" t="s">
        <v>10217</v>
      </c>
      <c r="AT645" t="s">
        <v>10218</v>
      </c>
      <c r="AU645">
        <v>2006</v>
      </c>
      <c r="AV645">
        <v>23</v>
      </c>
      <c r="AW645">
        <v>6</v>
      </c>
      <c r="AX645" t="s">
        <v>74</v>
      </c>
      <c r="AY645" t="s">
        <v>74</v>
      </c>
      <c r="AZ645" t="s">
        <v>74</v>
      </c>
      <c r="BA645" t="s">
        <v>74</v>
      </c>
      <c r="BB645">
        <v>1020</v>
      </c>
      <c r="BC645">
        <v>1039</v>
      </c>
      <c r="BD645" t="s">
        <v>74</v>
      </c>
      <c r="BE645" t="s">
        <v>10219</v>
      </c>
      <c r="BF645" t="str">
        <f>HYPERLINK("http://dx.doi.org/10.1007/s00376-006-1020-3","http://dx.doi.org/10.1007/s00376-006-1020-3")</f>
        <v>http://dx.doi.org/10.1007/s00376-006-1020-3</v>
      </c>
      <c r="BG645" t="s">
        <v>74</v>
      </c>
      <c r="BH645" t="s">
        <v>74</v>
      </c>
      <c r="BI645">
        <v>20</v>
      </c>
      <c r="BJ645" t="s">
        <v>3208</v>
      </c>
      <c r="BK645" t="s">
        <v>197</v>
      </c>
      <c r="BL645" t="s">
        <v>3208</v>
      </c>
      <c r="BM645" t="s">
        <v>10220</v>
      </c>
      <c r="BN645" t="s">
        <v>74</v>
      </c>
      <c r="BO645" t="s">
        <v>74</v>
      </c>
      <c r="BP645" t="s">
        <v>74</v>
      </c>
      <c r="BQ645" t="s">
        <v>74</v>
      </c>
      <c r="BR645" t="s">
        <v>100</v>
      </c>
      <c r="BS645" t="s">
        <v>10221</v>
      </c>
      <c r="BT645" t="str">
        <f>HYPERLINK("https%3A%2F%2Fwww.webofscience.com%2Fwos%2Fwoscc%2Ffull-record%2FWOS:000242523400016","View Full Record in Web of Science")</f>
        <v>View Full Record in Web of Science</v>
      </c>
    </row>
    <row r="646" spans="1:72" x14ac:dyDescent="0.15">
      <c r="A646" t="s">
        <v>72</v>
      </c>
      <c r="B646" t="s">
        <v>10222</v>
      </c>
      <c r="C646" t="s">
        <v>74</v>
      </c>
      <c r="D646" t="s">
        <v>74</v>
      </c>
      <c r="E646" t="s">
        <v>74</v>
      </c>
      <c r="F646" t="s">
        <v>10223</v>
      </c>
      <c r="G646" t="s">
        <v>74</v>
      </c>
      <c r="H646" t="s">
        <v>74</v>
      </c>
      <c r="I646" t="s">
        <v>10224</v>
      </c>
      <c r="J646" t="s">
        <v>10225</v>
      </c>
      <c r="K646" t="s">
        <v>74</v>
      </c>
      <c r="L646" t="s">
        <v>74</v>
      </c>
      <c r="M646" t="s">
        <v>78</v>
      </c>
      <c r="N646" t="s">
        <v>79</v>
      </c>
      <c r="O646" t="s">
        <v>74</v>
      </c>
      <c r="P646" t="s">
        <v>74</v>
      </c>
      <c r="Q646" t="s">
        <v>74</v>
      </c>
      <c r="R646" t="s">
        <v>74</v>
      </c>
      <c r="S646" t="s">
        <v>74</v>
      </c>
      <c r="T646" t="s">
        <v>10226</v>
      </c>
      <c r="U646" t="s">
        <v>10227</v>
      </c>
      <c r="V646" t="s">
        <v>10228</v>
      </c>
      <c r="W646" t="s">
        <v>10229</v>
      </c>
      <c r="X646" t="s">
        <v>10230</v>
      </c>
      <c r="Y646" t="s">
        <v>10231</v>
      </c>
      <c r="Z646" t="s">
        <v>10232</v>
      </c>
      <c r="AA646" t="s">
        <v>10233</v>
      </c>
      <c r="AB646" t="s">
        <v>10234</v>
      </c>
      <c r="AC646" t="s">
        <v>74</v>
      </c>
      <c r="AD646" t="s">
        <v>74</v>
      </c>
      <c r="AE646" t="s">
        <v>74</v>
      </c>
      <c r="AF646" t="s">
        <v>74</v>
      </c>
      <c r="AG646">
        <v>62</v>
      </c>
      <c r="AH646">
        <v>1</v>
      </c>
      <c r="AI646">
        <v>1</v>
      </c>
      <c r="AJ646">
        <v>0</v>
      </c>
      <c r="AK646">
        <v>5</v>
      </c>
      <c r="AL646" t="s">
        <v>10235</v>
      </c>
      <c r="AM646" t="s">
        <v>10236</v>
      </c>
      <c r="AN646" t="s">
        <v>10237</v>
      </c>
      <c r="AO646" t="s">
        <v>10238</v>
      </c>
      <c r="AP646" t="s">
        <v>74</v>
      </c>
      <c r="AQ646" t="s">
        <v>74</v>
      </c>
      <c r="AR646" t="s">
        <v>10239</v>
      </c>
      <c r="AS646" t="s">
        <v>10240</v>
      </c>
      <c r="AT646" t="s">
        <v>10218</v>
      </c>
      <c r="AU646">
        <v>2006</v>
      </c>
      <c r="AV646">
        <v>28</v>
      </c>
      <c r="AW646" t="s">
        <v>1283</v>
      </c>
      <c r="AX646" t="s">
        <v>74</v>
      </c>
      <c r="AY646" t="s">
        <v>74</v>
      </c>
      <c r="AZ646" t="s">
        <v>74</v>
      </c>
      <c r="BA646" t="s">
        <v>74</v>
      </c>
      <c r="BB646">
        <v>569</v>
      </c>
      <c r="BC646">
        <v>579</v>
      </c>
      <c r="BD646" t="s">
        <v>74</v>
      </c>
      <c r="BE646" t="s">
        <v>10241</v>
      </c>
      <c r="BF646" t="str">
        <f>HYPERLINK("http://dx.doi.org/10.2989/18142320609504207","http://dx.doi.org/10.2989/18142320609504207")</f>
        <v>http://dx.doi.org/10.2989/18142320609504207</v>
      </c>
      <c r="BG646" t="s">
        <v>74</v>
      </c>
      <c r="BH646" t="s">
        <v>74</v>
      </c>
      <c r="BI646">
        <v>11</v>
      </c>
      <c r="BJ646" t="s">
        <v>122</v>
      </c>
      <c r="BK646" t="s">
        <v>97</v>
      </c>
      <c r="BL646" t="s">
        <v>122</v>
      </c>
      <c r="BM646" t="s">
        <v>10242</v>
      </c>
      <c r="BN646" t="s">
        <v>74</v>
      </c>
      <c r="BO646" t="s">
        <v>74</v>
      </c>
      <c r="BP646" t="s">
        <v>74</v>
      </c>
      <c r="BQ646" t="s">
        <v>74</v>
      </c>
      <c r="BR646" t="s">
        <v>100</v>
      </c>
      <c r="BS646" t="s">
        <v>10243</v>
      </c>
      <c r="BT646" t="str">
        <f>HYPERLINK("https%3A%2F%2Fwww.webofscience.com%2Fwos%2Fwoscc%2Ffull-record%2FWOS:000243400400009","View Full Record in Web of Science")</f>
        <v>View Full Record in Web of Science</v>
      </c>
    </row>
    <row r="647" spans="1:72" x14ac:dyDescent="0.15">
      <c r="A647" t="s">
        <v>72</v>
      </c>
      <c r="B647" t="s">
        <v>10244</v>
      </c>
      <c r="C647" t="s">
        <v>74</v>
      </c>
      <c r="D647" t="s">
        <v>74</v>
      </c>
      <c r="E647" t="s">
        <v>74</v>
      </c>
      <c r="F647" t="s">
        <v>10245</v>
      </c>
      <c r="G647" t="s">
        <v>74</v>
      </c>
      <c r="H647" t="s">
        <v>74</v>
      </c>
      <c r="I647" t="s">
        <v>10246</v>
      </c>
      <c r="J647" t="s">
        <v>7975</v>
      </c>
      <c r="K647" t="s">
        <v>74</v>
      </c>
      <c r="L647" t="s">
        <v>74</v>
      </c>
      <c r="M647" t="s">
        <v>78</v>
      </c>
      <c r="N647" t="s">
        <v>79</v>
      </c>
      <c r="O647" t="s">
        <v>74</v>
      </c>
      <c r="P647" t="s">
        <v>74</v>
      </c>
      <c r="Q647" t="s">
        <v>74</v>
      </c>
      <c r="R647" t="s">
        <v>74</v>
      </c>
      <c r="S647" t="s">
        <v>74</v>
      </c>
      <c r="T647" t="s">
        <v>10247</v>
      </c>
      <c r="U647" t="s">
        <v>10248</v>
      </c>
      <c r="V647" t="s">
        <v>10249</v>
      </c>
      <c r="W647" t="s">
        <v>4625</v>
      </c>
      <c r="X647" t="s">
        <v>4626</v>
      </c>
      <c r="Y647" t="s">
        <v>10250</v>
      </c>
      <c r="Z647" t="s">
        <v>10251</v>
      </c>
      <c r="AA647" t="s">
        <v>10252</v>
      </c>
      <c r="AB647" t="s">
        <v>10253</v>
      </c>
      <c r="AC647" t="s">
        <v>74</v>
      </c>
      <c r="AD647" t="s">
        <v>74</v>
      </c>
      <c r="AE647" t="s">
        <v>74</v>
      </c>
      <c r="AF647" t="s">
        <v>74</v>
      </c>
      <c r="AG647">
        <v>96</v>
      </c>
      <c r="AH647">
        <v>112</v>
      </c>
      <c r="AI647">
        <v>119</v>
      </c>
      <c r="AJ647">
        <v>0</v>
      </c>
      <c r="AK647">
        <v>50</v>
      </c>
      <c r="AL647" t="s">
        <v>7983</v>
      </c>
      <c r="AM647" t="s">
        <v>7984</v>
      </c>
      <c r="AN647" t="s">
        <v>7985</v>
      </c>
      <c r="AO647" t="s">
        <v>7986</v>
      </c>
      <c r="AP647" t="s">
        <v>7987</v>
      </c>
      <c r="AQ647" t="s">
        <v>74</v>
      </c>
      <c r="AR647" t="s">
        <v>7988</v>
      </c>
      <c r="AS647" t="s">
        <v>7989</v>
      </c>
      <c r="AT647" t="s">
        <v>10218</v>
      </c>
      <c r="AU647">
        <v>2006</v>
      </c>
      <c r="AV647">
        <v>168</v>
      </c>
      <c r="AW647">
        <v>5</v>
      </c>
      <c r="AX647" t="s">
        <v>74</v>
      </c>
      <c r="AY647" t="s">
        <v>74</v>
      </c>
      <c r="AZ647" t="s">
        <v>74</v>
      </c>
      <c r="BA647" t="s">
        <v>74</v>
      </c>
      <c r="BB647">
        <v>630</v>
      </c>
      <c r="BC647">
        <v>644</v>
      </c>
      <c r="BD647" t="s">
        <v>74</v>
      </c>
      <c r="BE647" t="s">
        <v>10254</v>
      </c>
      <c r="BF647" t="str">
        <f>HYPERLINK("http://dx.doi.org/10.1086/508026","http://dx.doi.org/10.1086/508026")</f>
        <v>http://dx.doi.org/10.1086/508026</v>
      </c>
      <c r="BG647" t="s">
        <v>74</v>
      </c>
      <c r="BH647" t="s">
        <v>74</v>
      </c>
      <c r="BI647">
        <v>15</v>
      </c>
      <c r="BJ647" t="s">
        <v>7991</v>
      </c>
      <c r="BK647" t="s">
        <v>97</v>
      </c>
      <c r="BL647" t="s">
        <v>7992</v>
      </c>
      <c r="BM647" t="s">
        <v>10255</v>
      </c>
      <c r="BN647">
        <v>17080362</v>
      </c>
      <c r="BO647" t="s">
        <v>74</v>
      </c>
      <c r="BP647" t="s">
        <v>74</v>
      </c>
      <c r="BQ647" t="s">
        <v>74</v>
      </c>
      <c r="BR647" t="s">
        <v>100</v>
      </c>
      <c r="BS647" t="s">
        <v>10256</v>
      </c>
      <c r="BT647" t="str">
        <f>HYPERLINK("https%3A%2F%2Fwww.webofscience.com%2Fwos%2Fwoscc%2Ffull-record%2FWOS:000242018900005","View Full Record in Web of Science")</f>
        <v>View Full Record in Web of Science</v>
      </c>
    </row>
    <row r="648" spans="1:72" x14ac:dyDescent="0.15">
      <c r="A648" t="s">
        <v>72</v>
      </c>
      <c r="B648" t="s">
        <v>10257</v>
      </c>
      <c r="C648" t="s">
        <v>74</v>
      </c>
      <c r="D648" t="s">
        <v>74</v>
      </c>
      <c r="E648" t="s">
        <v>74</v>
      </c>
      <c r="F648" t="s">
        <v>10258</v>
      </c>
      <c r="G648" t="s">
        <v>74</v>
      </c>
      <c r="H648" t="s">
        <v>74</v>
      </c>
      <c r="I648" t="s">
        <v>10259</v>
      </c>
      <c r="J648" t="s">
        <v>10260</v>
      </c>
      <c r="K648" t="s">
        <v>74</v>
      </c>
      <c r="L648" t="s">
        <v>74</v>
      </c>
      <c r="M648" t="s">
        <v>78</v>
      </c>
      <c r="N648" t="s">
        <v>79</v>
      </c>
      <c r="O648" t="s">
        <v>74</v>
      </c>
      <c r="P648" t="s">
        <v>74</v>
      </c>
      <c r="Q648" t="s">
        <v>74</v>
      </c>
      <c r="R648" t="s">
        <v>74</v>
      </c>
      <c r="S648" t="s">
        <v>74</v>
      </c>
      <c r="T648" t="s">
        <v>74</v>
      </c>
      <c r="U648" t="s">
        <v>10261</v>
      </c>
      <c r="V648" t="s">
        <v>10262</v>
      </c>
      <c r="W648" t="s">
        <v>10263</v>
      </c>
      <c r="X648" t="s">
        <v>10264</v>
      </c>
      <c r="Y648" t="s">
        <v>10265</v>
      </c>
      <c r="Z648" t="s">
        <v>10266</v>
      </c>
      <c r="AA648" t="s">
        <v>10267</v>
      </c>
      <c r="AB648" t="s">
        <v>10268</v>
      </c>
      <c r="AC648" t="s">
        <v>74</v>
      </c>
      <c r="AD648" t="s">
        <v>74</v>
      </c>
      <c r="AE648" t="s">
        <v>74</v>
      </c>
      <c r="AF648" t="s">
        <v>74</v>
      </c>
      <c r="AG648">
        <v>35</v>
      </c>
      <c r="AH648">
        <v>46</v>
      </c>
      <c r="AI648">
        <v>52</v>
      </c>
      <c r="AJ648">
        <v>2</v>
      </c>
      <c r="AK648">
        <v>27</v>
      </c>
      <c r="AL648" t="s">
        <v>10269</v>
      </c>
      <c r="AM648" t="s">
        <v>1112</v>
      </c>
      <c r="AN648" t="s">
        <v>10270</v>
      </c>
      <c r="AO648" t="s">
        <v>10271</v>
      </c>
      <c r="AP648" t="s">
        <v>10272</v>
      </c>
      <c r="AQ648" t="s">
        <v>74</v>
      </c>
      <c r="AR648" t="s">
        <v>10273</v>
      </c>
      <c r="AS648" t="s">
        <v>10274</v>
      </c>
      <c r="AT648" t="s">
        <v>10218</v>
      </c>
      <c r="AU648">
        <v>2006</v>
      </c>
      <c r="AV648">
        <v>38</v>
      </c>
      <c r="AW648">
        <v>4</v>
      </c>
      <c r="AX648" t="s">
        <v>74</v>
      </c>
      <c r="AY648" t="s">
        <v>74</v>
      </c>
      <c r="AZ648" t="s">
        <v>74</v>
      </c>
      <c r="BA648" t="s">
        <v>74</v>
      </c>
      <c r="BB648">
        <v>481</v>
      </c>
      <c r="BC648">
        <v>488</v>
      </c>
      <c r="BD648" t="s">
        <v>74</v>
      </c>
      <c r="BE648" t="s">
        <v>10275</v>
      </c>
      <c r="BF648" t="str">
        <f>HYPERLINK("http://dx.doi.org/10.1657/1523-0430(2006)38[481:FOSMBR]2.0.CO;2","http://dx.doi.org/10.1657/1523-0430(2006)38[481:FOSMBR]2.0.CO;2")</f>
        <v>http://dx.doi.org/10.1657/1523-0430(2006)38[481:FOSMBR]2.0.CO;2</v>
      </c>
      <c r="BG648" t="s">
        <v>74</v>
      </c>
      <c r="BH648" t="s">
        <v>74</v>
      </c>
      <c r="BI648">
        <v>8</v>
      </c>
      <c r="BJ648" t="s">
        <v>10276</v>
      </c>
      <c r="BK648" t="s">
        <v>97</v>
      </c>
      <c r="BL648" t="s">
        <v>3353</v>
      </c>
      <c r="BM648" t="s">
        <v>10277</v>
      </c>
      <c r="BN648" t="s">
        <v>74</v>
      </c>
      <c r="BO648" t="s">
        <v>1384</v>
      </c>
      <c r="BP648" t="s">
        <v>74</v>
      </c>
      <c r="BQ648" t="s">
        <v>74</v>
      </c>
      <c r="BR648" t="s">
        <v>100</v>
      </c>
      <c r="BS648" t="s">
        <v>10278</v>
      </c>
      <c r="BT648" t="str">
        <f>HYPERLINK("https%3A%2F%2Fwww.webofscience.com%2Fwos%2Fwoscc%2Ffull-record%2FWOS:000242509200001","View Full Record in Web of Science")</f>
        <v>View Full Record in Web of Science</v>
      </c>
    </row>
    <row r="649" spans="1:72" x14ac:dyDescent="0.15">
      <c r="A649" t="s">
        <v>72</v>
      </c>
      <c r="B649" t="s">
        <v>10279</v>
      </c>
      <c r="C649" t="s">
        <v>74</v>
      </c>
      <c r="D649" t="s">
        <v>74</v>
      </c>
      <c r="E649" t="s">
        <v>74</v>
      </c>
      <c r="F649" t="s">
        <v>10280</v>
      </c>
      <c r="G649" t="s">
        <v>74</v>
      </c>
      <c r="H649" t="s">
        <v>74</v>
      </c>
      <c r="I649" t="s">
        <v>10281</v>
      </c>
      <c r="J649" t="s">
        <v>10260</v>
      </c>
      <c r="K649" t="s">
        <v>74</v>
      </c>
      <c r="L649" t="s">
        <v>74</v>
      </c>
      <c r="M649" t="s">
        <v>78</v>
      </c>
      <c r="N649" t="s">
        <v>79</v>
      </c>
      <c r="O649" t="s">
        <v>74</v>
      </c>
      <c r="P649" t="s">
        <v>74</v>
      </c>
      <c r="Q649" t="s">
        <v>74</v>
      </c>
      <c r="R649" t="s">
        <v>74</v>
      </c>
      <c r="S649" t="s">
        <v>74</v>
      </c>
      <c r="T649" t="s">
        <v>74</v>
      </c>
      <c r="U649" t="s">
        <v>10282</v>
      </c>
      <c r="V649" t="s">
        <v>10283</v>
      </c>
      <c r="W649" t="s">
        <v>10284</v>
      </c>
      <c r="X649" t="s">
        <v>10285</v>
      </c>
      <c r="Y649" t="s">
        <v>10286</v>
      </c>
      <c r="Z649" t="s">
        <v>10287</v>
      </c>
      <c r="AA649" t="s">
        <v>74</v>
      </c>
      <c r="AB649" t="s">
        <v>10288</v>
      </c>
      <c r="AC649" t="s">
        <v>74</v>
      </c>
      <c r="AD649" t="s">
        <v>74</v>
      </c>
      <c r="AE649" t="s">
        <v>74</v>
      </c>
      <c r="AF649" t="s">
        <v>74</v>
      </c>
      <c r="AG649">
        <v>45</v>
      </c>
      <c r="AH649">
        <v>65</v>
      </c>
      <c r="AI649">
        <v>73</v>
      </c>
      <c r="AJ649">
        <v>1</v>
      </c>
      <c r="AK649">
        <v>27</v>
      </c>
      <c r="AL649" t="s">
        <v>10269</v>
      </c>
      <c r="AM649" t="s">
        <v>1112</v>
      </c>
      <c r="AN649" t="s">
        <v>10270</v>
      </c>
      <c r="AO649" t="s">
        <v>10271</v>
      </c>
      <c r="AP649" t="s">
        <v>74</v>
      </c>
      <c r="AQ649" t="s">
        <v>74</v>
      </c>
      <c r="AR649" t="s">
        <v>10273</v>
      </c>
      <c r="AS649" t="s">
        <v>10274</v>
      </c>
      <c r="AT649" t="s">
        <v>10218</v>
      </c>
      <c r="AU649">
        <v>2006</v>
      </c>
      <c r="AV649">
        <v>38</v>
      </c>
      <c r="AW649">
        <v>4</v>
      </c>
      <c r="AX649" t="s">
        <v>74</v>
      </c>
      <c r="AY649" t="s">
        <v>74</v>
      </c>
      <c r="AZ649" t="s">
        <v>74</v>
      </c>
      <c r="BA649" t="s">
        <v>74</v>
      </c>
      <c r="BB649">
        <v>489</v>
      </c>
      <c r="BC649">
        <v>498</v>
      </c>
      <c r="BD649" t="s">
        <v>74</v>
      </c>
      <c r="BE649" t="s">
        <v>10289</v>
      </c>
      <c r="BF649" t="str">
        <f>HYPERLINK("http://dx.doi.org/10.1657/1523-0430(2006)38[489:MCOTIO]2.0.CO;2","http://dx.doi.org/10.1657/1523-0430(2006)38[489:MCOTIO]2.0.CO;2")</f>
        <v>http://dx.doi.org/10.1657/1523-0430(2006)38[489:MCOTIO]2.0.CO;2</v>
      </c>
      <c r="BG649" t="s">
        <v>74</v>
      </c>
      <c r="BH649" t="s">
        <v>74</v>
      </c>
      <c r="BI649">
        <v>10</v>
      </c>
      <c r="BJ649" t="s">
        <v>10276</v>
      </c>
      <c r="BK649" t="s">
        <v>97</v>
      </c>
      <c r="BL649" t="s">
        <v>3353</v>
      </c>
      <c r="BM649" t="s">
        <v>10277</v>
      </c>
      <c r="BN649" t="s">
        <v>74</v>
      </c>
      <c r="BO649" t="s">
        <v>3708</v>
      </c>
      <c r="BP649" t="s">
        <v>74</v>
      </c>
      <c r="BQ649" t="s">
        <v>74</v>
      </c>
      <c r="BR649" t="s">
        <v>100</v>
      </c>
      <c r="BS649" t="s">
        <v>10290</v>
      </c>
      <c r="BT649" t="str">
        <f>HYPERLINK("https%3A%2F%2Fwww.webofscience.com%2Fwos%2Fwoscc%2Ffull-record%2FWOS:000242509200002","View Full Record in Web of Science")</f>
        <v>View Full Record in Web of Science</v>
      </c>
    </row>
    <row r="650" spans="1:72" x14ac:dyDescent="0.15">
      <c r="A650" t="s">
        <v>72</v>
      </c>
      <c r="B650" t="s">
        <v>10291</v>
      </c>
      <c r="C650" t="s">
        <v>74</v>
      </c>
      <c r="D650" t="s">
        <v>74</v>
      </c>
      <c r="E650" t="s">
        <v>74</v>
      </c>
      <c r="F650" t="s">
        <v>10292</v>
      </c>
      <c r="G650" t="s">
        <v>74</v>
      </c>
      <c r="H650" t="s">
        <v>74</v>
      </c>
      <c r="I650" t="s">
        <v>10293</v>
      </c>
      <c r="J650" t="s">
        <v>10260</v>
      </c>
      <c r="K650" t="s">
        <v>74</v>
      </c>
      <c r="L650" t="s">
        <v>74</v>
      </c>
      <c r="M650" t="s">
        <v>78</v>
      </c>
      <c r="N650" t="s">
        <v>79</v>
      </c>
      <c r="O650" t="s">
        <v>74</v>
      </c>
      <c r="P650" t="s">
        <v>74</v>
      </c>
      <c r="Q650" t="s">
        <v>74</v>
      </c>
      <c r="R650" t="s">
        <v>74</v>
      </c>
      <c r="S650" t="s">
        <v>74</v>
      </c>
      <c r="T650" t="s">
        <v>74</v>
      </c>
      <c r="U650" t="s">
        <v>10294</v>
      </c>
      <c r="V650" t="s">
        <v>10295</v>
      </c>
      <c r="W650" t="s">
        <v>10296</v>
      </c>
      <c r="X650" t="s">
        <v>10297</v>
      </c>
      <c r="Y650" t="s">
        <v>10298</v>
      </c>
      <c r="Z650" t="s">
        <v>10299</v>
      </c>
      <c r="AA650" t="s">
        <v>10300</v>
      </c>
      <c r="AB650" t="s">
        <v>10301</v>
      </c>
      <c r="AC650" t="s">
        <v>74</v>
      </c>
      <c r="AD650" t="s">
        <v>74</v>
      </c>
      <c r="AE650" t="s">
        <v>74</v>
      </c>
      <c r="AF650" t="s">
        <v>74</v>
      </c>
      <c r="AG650">
        <v>62</v>
      </c>
      <c r="AH650">
        <v>77</v>
      </c>
      <c r="AI650">
        <v>80</v>
      </c>
      <c r="AJ650">
        <v>3</v>
      </c>
      <c r="AK650">
        <v>39</v>
      </c>
      <c r="AL650" t="s">
        <v>2428</v>
      </c>
      <c r="AM650" t="s">
        <v>2429</v>
      </c>
      <c r="AN650" t="s">
        <v>2430</v>
      </c>
      <c r="AO650" t="s">
        <v>10271</v>
      </c>
      <c r="AP650" t="s">
        <v>10272</v>
      </c>
      <c r="AQ650" t="s">
        <v>74</v>
      </c>
      <c r="AR650" t="s">
        <v>10273</v>
      </c>
      <c r="AS650" t="s">
        <v>10274</v>
      </c>
      <c r="AT650" t="s">
        <v>10218</v>
      </c>
      <c r="AU650">
        <v>2006</v>
      </c>
      <c r="AV650">
        <v>38</v>
      </c>
      <c r="AW650">
        <v>4</v>
      </c>
      <c r="AX650" t="s">
        <v>74</v>
      </c>
      <c r="AY650" t="s">
        <v>74</v>
      </c>
      <c r="AZ650" t="s">
        <v>74</v>
      </c>
      <c r="BA650" t="s">
        <v>74</v>
      </c>
      <c r="BB650">
        <v>499</v>
      </c>
      <c r="BC650">
        <v>509</v>
      </c>
      <c r="BD650" t="s">
        <v>74</v>
      </c>
      <c r="BE650" t="s">
        <v>10302</v>
      </c>
      <c r="BF650" t="str">
        <f>HYPERLINK("http://dx.doi.org/10.1657/1523-0430(2006)38[499:MGASDI]2.0.CO;2","http://dx.doi.org/10.1657/1523-0430(2006)38[499:MGASDI]2.0.CO;2")</f>
        <v>http://dx.doi.org/10.1657/1523-0430(2006)38[499:MGASDI]2.0.CO;2</v>
      </c>
      <c r="BG650" t="s">
        <v>74</v>
      </c>
      <c r="BH650" t="s">
        <v>74</v>
      </c>
      <c r="BI650">
        <v>11</v>
      </c>
      <c r="BJ650" t="s">
        <v>10276</v>
      </c>
      <c r="BK650" t="s">
        <v>97</v>
      </c>
      <c r="BL650" t="s">
        <v>3353</v>
      </c>
      <c r="BM650" t="s">
        <v>10277</v>
      </c>
      <c r="BN650" t="s">
        <v>74</v>
      </c>
      <c r="BO650" t="s">
        <v>3708</v>
      </c>
      <c r="BP650" t="s">
        <v>74</v>
      </c>
      <c r="BQ650" t="s">
        <v>74</v>
      </c>
      <c r="BR650" t="s">
        <v>100</v>
      </c>
      <c r="BS650" t="s">
        <v>10303</v>
      </c>
      <c r="BT650" t="str">
        <f>HYPERLINK("https%3A%2F%2Fwww.webofscience.com%2Fwos%2Fwoscc%2Ffull-record%2FWOS:000242509200003","View Full Record in Web of Science")</f>
        <v>View Full Record in Web of Science</v>
      </c>
    </row>
    <row r="651" spans="1:72" x14ac:dyDescent="0.15">
      <c r="A651" t="s">
        <v>72</v>
      </c>
      <c r="B651" t="s">
        <v>10304</v>
      </c>
      <c r="C651" t="s">
        <v>74</v>
      </c>
      <c r="D651" t="s">
        <v>74</v>
      </c>
      <c r="E651" t="s">
        <v>74</v>
      </c>
      <c r="F651" t="s">
        <v>10305</v>
      </c>
      <c r="G651" t="s">
        <v>74</v>
      </c>
      <c r="H651" t="s">
        <v>74</v>
      </c>
      <c r="I651" t="s">
        <v>10306</v>
      </c>
      <c r="J651" t="s">
        <v>10260</v>
      </c>
      <c r="K651" t="s">
        <v>74</v>
      </c>
      <c r="L651" t="s">
        <v>74</v>
      </c>
      <c r="M651" t="s">
        <v>78</v>
      </c>
      <c r="N651" t="s">
        <v>79</v>
      </c>
      <c r="O651" t="s">
        <v>74</v>
      </c>
      <c r="P651" t="s">
        <v>74</v>
      </c>
      <c r="Q651" t="s">
        <v>74</v>
      </c>
      <c r="R651" t="s">
        <v>74</v>
      </c>
      <c r="S651" t="s">
        <v>74</v>
      </c>
      <c r="T651" t="s">
        <v>74</v>
      </c>
      <c r="U651" t="s">
        <v>10307</v>
      </c>
      <c r="V651" t="s">
        <v>10308</v>
      </c>
      <c r="W651" t="s">
        <v>10296</v>
      </c>
      <c r="X651" t="s">
        <v>10297</v>
      </c>
      <c r="Y651" t="s">
        <v>10298</v>
      </c>
      <c r="Z651" t="s">
        <v>10299</v>
      </c>
      <c r="AA651" t="s">
        <v>10300</v>
      </c>
      <c r="AB651" t="s">
        <v>10301</v>
      </c>
      <c r="AC651" t="s">
        <v>74</v>
      </c>
      <c r="AD651" t="s">
        <v>74</v>
      </c>
      <c r="AE651" t="s">
        <v>74</v>
      </c>
      <c r="AF651" t="s">
        <v>74</v>
      </c>
      <c r="AG651">
        <v>41</v>
      </c>
      <c r="AH651">
        <v>24</v>
      </c>
      <c r="AI651">
        <v>24</v>
      </c>
      <c r="AJ651">
        <v>1</v>
      </c>
      <c r="AK651">
        <v>26</v>
      </c>
      <c r="AL651" t="s">
        <v>2428</v>
      </c>
      <c r="AM651" t="s">
        <v>2429</v>
      </c>
      <c r="AN651" t="s">
        <v>2430</v>
      </c>
      <c r="AO651" t="s">
        <v>10271</v>
      </c>
      <c r="AP651" t="s">
        <v>10272</v>
      </c>
      <c r="AQ651" t="s">
        <v>74</v>
      </c>
      <c r="AR651" t="s">
        <v>10273</v>
      </c>
      <c r="AS651" t="s">
        <v>10274</v>
      </c>
      <c r="AT651" t="s">
        <v>10218</v>
      </c>
      <c r="AU651">
        <v>2006</v>
      </c>
      <c r="AV651">
        <v>38</v>
      </c>
      <c r="AW651">
        <v>4</v>
      </c>
      <c r="AX651" t="s">
        <v>74</v>
      </c>
      <c r="AY651" t="s">
        <v>74</v>
      </c>
      <c r="AZ651" t="s">
        <v>74</v>
      </c>
      <c r="BA651" t="s">
        <v>74</v>
      </c>
      <c r="BB651">
        <v>510</v>
      </c>
      <c r="BC651">
        <v>521</v>
      </c>
      <c r="BD651" t="s">
        <v>74</v>
      </c>
      <c r="BE651" t="s">
        <v>10309</v>
      </c>
      <c r="BF651" t="str">
        <f>HYPERLINK("http://dx.doi.org/10.1657/1523-0430(2006)38[510:MGASDI]2.0.CO;2","http://dx.doi.org/10.1657/1523-0430(2006)38[510:MGASDI]2.0.CO;2")</f>
        <v>http://dx.doi.org/10.1657/1523-0430(2006)38[510:MGASDI]2.0.CO;2</v>
      </c>
      <c r="BG651" t="s">
        <v>74</v>
      </c>
      <c r="BH651" t="s">
        <v>74</v>
      </c>
      <c r="BI651">
        <v>12</v>
      </c>
      <c r="BJ651" t="s">
        <v>10276</v>
      </c>
      <c r="BK651" t="s">
        <v>97</v>
      </c>
      <c r="BL651" t="s">
        <v>3353</v>
      </c>
      <c r="BM651" t="s">
        <v>10277</v>
      </c>
      <c r="BN651" t="s">
        <v>74</v>
      </c>
      <c r="BO651" t="s">
        <v>10167</v>
      </c>
      <c r="BP651" t="s">
        <v>74</v>
      </c>
      <c r="BQ651" t="s">
        <v>74</v>
      </c>
      <c r="BR651" t="s">
        <v>100</v>
      </c>
      <c r="BS651" t="s">
        <v>10310</v>
      </c>
      <c r="BT651" t="str">
        <f>HYPERLINK("https%3A%2F%2Fwww.webofscience.com%2Fwos%2Fwoscc%2Ffull-record%2FWOS:000242509200004","View Full Record in Web of Science")</f>
        <v>View Full Record in Web of Science</v>
      </c>
    </row>
    <row r="652" spans="1:72" x14ac:dyDescent="0.15">
      <c r="A652" t="s">
        <v>72</v>
      </c>
      <c r="B652" t="s">
        <v>10311</v>
      </c>
      <c r="C652" t="s">
        <v>74</v>
      </c>
      <c r="D652" t="s">
        <v>74</v>
      </c>
      <c r="E652" t="s">
        <v>74</v>
      </c>
      <c r="F652" t="s">
        <v>10312</v>
      </c>
      <c r="G652" t="s">
        <v>74</v>
      </c>
      <c r="H652" t="s">
        <v>74</v>
      </c>
      <c r="I652" t="s">
        <v>10313</v>
      </c>
      <c r="J652" t="s">
        <v>10260</v>
      </c>
      <c r="K652" t="s">
        <v>74</v>
      </c>
      <c r="L652" t="s">
        <v>74</v>
      </c>
      <c r="M652" t="s">
        <v>78</v>
      </c>
      <c r="N652" t="s">
        <v>79</v>
      </c>
      <c r="O652" t="s">
        <v>74</v>
      </c>
      <c r="P652" t="s">
        <v>74</v>
      </c>
      <c r="Q652" t="s">
        <v>74</v>
      </c>
      <c r="R652" t="s">
        <v>74</v>
      </c>
      <c r="S652" t="s">
        <v>74</v>
      </c>
      <c r="T652" t="s">
        <v>74</v>
      </c>
      <c r="U652" t="s">
        <v>10314</v>
      </c>
      <c r="V652" t="s">
        <v>10315</v>
      </c>
      <c r="W652" t="s">
        <v>10316</v>
      </c>
      <c r="X652" t="s">
        <v>10317</v>
      </c>
      <c r="Y652" t="s">
        <v>10318</v>
      </c>
      <c r="Z652" t="s">
        <v>10319</v>
      </c>
      <c r="AA652" t="s">
        <v>74</v>
      </c>
      <c r="AB652" t="s">
        <v>74</v>
      </c>
      <c r="AC652" t="s">
        <v>74</v>
      </c>
      <c r="AD652" t="s">
        <v>74</v>
      </c>
      <c r="AE652" t="s">
        <v>74</v>
      </c>
      <c r="AF652" t="s">
        <v>74</v>
      </c>
      <c r="AG652">
        <v>38</v>
      </c>
      <c r="AH652">
        <v>11</v>
      </c>
      <c r="AI652">
        <v>14</v>
      </c>
      <c r="AJ652">
        <v>1</v>
      </c>
      <c r="AK652">
        <v>9</v>
      </c>
      <c r="AL652" t="s">
        <v>10269</v>
      </c>
      <c r="AM652" t="s">
        <v>1112</v>
      </c>
      <c r="AN652" t="s">
        <v>10270</v>
      </c>
      <c r="AO652" t="s">
        <v>10271</v>
      </c>
      <c r="AP652" t="s">
        <v>74</v>
      </c>
      <c r="AQ652" t="s">
        <v>74</v>
      </c>
      <c r="AR652" t="s">
        <v>10273</v>
      </c>
      <c r="AS652" t="s">
        <v>10274</v>
      </c>
      <c r="AT652" t="s">
        <v>10218</v>
      </c>
      <c r="AU652">
        <v>2006</v>
      </c>
      <c r="AV652">
        <v>38</v>
      </c>
      <c r="AW652">
        <v>4</v>
      </c>
      <c r="AX652" t="s">
        <v>74</v>
      </c>
      <c r="AY652" t="s">
        <v>74</v>
      </c>
      <c r="AZ652" t="s">
        <v>74</v>
      </c>
      <c r="BA652" t="s">
        <v>74</v>
      </c>
      <c r="BB652">
        <v>522</v>
      </c>
      <c r="BC652">
        <v>529</v>
      </c>
      <c r="BD652" t="s">
        <v>74</v>
      </c>
      <c r="BE652" t="s">
        <v>10320</v>
      </c>
      <c r="BF652" t="str">
        <f>HYPERLINK("http://dx.doi.org/10.1657/1523-0430(2006)38[522:BCOAUH]2.0.CO;2","http://dx.doi.org/10.1657/1523-0430(2006)38[522:BCOAUH]2.0.CO;2")</f>
        <v>http://dx.doi.org/10.1657/1523-0430(2006)38[522:BCOAUH]2.0.CO;2</v>
      </c>
      <c r="BG652" t="s">
        <v>74</v>
      </c>
      <c r="BH652" t="s">
        <v>74</v>
      </c>
      <c r="BI652">
        <v>8</v>
      </c>
      <c r="BJ652" t="s">
        <v>10276</v>
      </c>
      <c r="BK652" t="s">
        <v>97</v>
      </c>
      <c r="BL652" t="s">
        <v>3353</v>
      </c>
      <c r="BM652" t="s">
        <v>10277</v>
      </c>
      <c r="BN652" t="s">
        <v>74</v>
      </c>
      <c r="BO652" t="s">
        <v>1384</v>
      </c>
      <c r="BP652" t="s">
        <v>74</v>
      </c>
      <c r="BQ652" t="s">
        <v>74</v>
      </c>
      <c r="BR652" t="s">
        <v>100</v>
      </c>
      <c r="BS652" t="s">
        <v>10321</v>
      </c>
      <c r="BT652" t="str">
        <f>HYPERLINK("https%3A%2F%2Fwww.webofscience.com%2Fwos%2Fwoscc%2Ffull-record%2FWOS:000242509200005","View Full Record in Web of Science")</f>
        <v>View Full Record in Web of Science</v>
      </c>
    </row>
    <row r="653" spans="1:72" x14ac:dyDescent="0.15">
      <c r="A653" t="s">
        <v>72</v>
      </c>
      <c r="B653" t="s">
        <v>10322</v>
      </c>
      <c r="C653" t="s">
        <v>74</v>
      </c>
      <c r="D653" t="s">
        <v>74</v>
      </c>
      <c r="E653" t="s">
        <v>74</v>
      </c>
      <c r="F653" t="s">
        <v>10323</v>
      </c>
      <c r="G653" t="s">
        <v>74</v>
      </c>
      <c r="H653" t="s">
        <v>74</v>
      </c>
      <c r="I653" t="s">
        <v>10324</v>
      </c>
      <c r="J653" t="s">
        <v>10260</v>
      </c>
      <c r="K653" t="s">
        <v>74</v>
      </c>
      <c r="L653" t="s">
        <v>74</v>
      </c>
      <c r="M653" t="s">
        <v>78</v>
      </c>
      <c r="N653" t="s">
        <v>79</v>
      </c>
      <c r="O653" t="s">
        <v>74</v>
      </c>
      <c r="P653" t="s">
        <v>74</v>
      </c>
      <c r="Q653" t="s">
        <v>74</v>
      </c>
      <c r="R653" t="s">
        <v>74</v>
      </c>
      <c r="S653" t="s">
        <v>74</v>
      </c>
      <c r="T653" t="s">
        <v>74</v>
      </c>
      <c r="U653" t="s">
        <v>10325</v>
      </c>
      <c r="V653" t="s">
        <v>10326</v>
      </c>
      <c r="W653" t="s">
        <v>10327</v>
      </c>
      <c r="X653" t="s">
        <v>10328</v>
      </c>
      <c r="Y653" t="s">
        <v>10329</v>
      </c>
      <c r="Z653" t="s">
        <v>10330</v>
      </c>
      <c r="AA653" t="s">
        <v>74</v>
      </c>
      <c r="AB653" t="s">
        <v>74</v>
      </c>
      <c r="AC653" t="s">
        <v>74</v>
      </c>
      <c r="AD653" t="s">
        <v>74</v>
      </c>
      <c r="AE653" t="s">
        <v>74</v>
      </c>
      <c r="AF653" t="s">
        <v>74</v>
      </c>
      <c r="AG653">
        <v>20</v>
      </c>
      <c r="AH653">
        <v>60</v>
      </c>
      <c r="AI653">
        <v>68</v>
      </c>
      <c r="AJ653">
        <v>3</v>
      </c>
      <c r="AK653">
        <v>30</v>
      </c>
      <c r="AL653" t="s">
        <v>2428</v>
      </c>
      <c r="AM653" t="s">
        <v>2429</v>
      </c>
      <c r="AN653" t="s">
        <v>2430</v>
      </c>
      <c r="AO653" t="s">
        <v>10271</v>
      </c>
      <c r="AP653" t="s">
        <v>10272</v>
      </c>
      <c r="AQ653" t="s">
        <v>74</v>
      </c>
      <c r="AR653" t="s">
        <v>10273</v>
      </c>
      <c r="AS653" t="s">
        <v>10274</v>
      </c>
      <c r="AT653" t="s">
        <v>10218</v>
      </c>
      <c r="AU653">
        <v>2006</v>
      </c>
      <c r="AV653">
        <v>38</v>
      </c>
      <c r="AW653">
        <v>4</v>
      </c>
      <c r="AX653" t="s">
        <v>74</v>
      </c>
      <c r="AY653" t="s">
        <v>74</v>
      </c>
      <c r="AZ653" t="s">
        <v>74</v>
      </c>
      <c r="BA653" t="s">
        <v>74</v>
      </c>
      <c r="BB653">
        <v>530</v>
      </c>
      <c r="BC653">
        <v>539</v>
      </c>
      <c r="BD653" t="s">
        <v>74</v>
      </c>
      <c r="BE653" t="s">
        <v>10331</v>
      </c>
      <c r="BF653" t="str">
        <f>HYPERLINK("http://dx.doi.org/10.1657/1523-0430(2006)38[530:PDATFS]2.0.CO;2","http://dx.doi.org/10.1657/1523-0430(2006)38[530:PDATFS]2.0.CO;2")</f>
        <v>http://dx.doi.org/10.1657/1523-0430(2006)38[530:PDATFS]2.0.CO;2</v>
      </c>
      <c r="BG653" t="s">
        <v>74</v>
      </c>
      <c r="BH653" t="s">
        <v>74</v>
      </c>
      <c r="BI653">
        <v>10</v>
      </c>
      <c r="BJ653" t="s">
        <v>10276</v>
      </c>
      <c r="BK653" t="s">
        <v>97</v>
      </c>
      <c r="BL653" t="s">
        <v>3353</v>
      </c>
      <c r="BM653" t="s">
        <v>10277</v>
      </c>
      <c r="BN653" t="s">
        <v>74</v>
      </c>
      <c r="BO653" t="s">
        <v>1384</v>
      </c>
      <c r="BP653" t="s">
        <v>74</v>
      </c>
      <c r="BQ653" t="s">
        <v>74</v>
      </c>
      <c r="BR653" t="s">
        <v>100</v>
      </c>
      <c r="BS653" t="s">
        <v>10332</v>
      </c>
      <c r="BT653" t="str">
        <f>HYPERLINK("https%3A%2F%2Fwww.webofscience.com%2Fwos%2Fwoscc%2Ffull-record%2FWOS:000242509200006","View Full Record in Web of Science")</f>
        <v>View Full Record in Web of Science</v>
      </c>
    </row>
    <row r="654" spans="1:72" x14ac:dyDescent="0.15">
      <c r="A654" t="s">
        <v>72</v>
      </c>
      <c r="B654" t="s">
        <v>10333</v>
      </c>
      <c r="C654" t="s">
        <v>74</v>
      </c>
      <c r="D654" t="s">
        <v>74</v>
      </c>
      <c r="E654" t="s">
        <v>74</v>
      </c>
      <c r="F654" t="s">
        <v>10334</v>
      </c>
      <c r="G654" t="s">
        <v>74</v>
      </c>
      <c r="H654" t="s">
        <v>74</v>
      </c>
      <c r="I654" t="s">
        <v>10335</v>
      </c>
      <c r="J654" t="s">
        <v>10260</v>
      </c>
      <c r="K654" t="s">
        <v>74</v>
      </c>
      <c r="L654" t="s">
        <v>74</v>
      </c>
      <c r="M654" t="s">
        <v>78</v>
      </c>
      <c r="N654" t="s">
        <v>79</v>
      </c>
      <c r="O654" t="s">
        <v>74</v>
      </c>
      <c r="P654" t="s">
        <v>74</v>
      </c>
      <c r="Q654" t="s">
        <v>74</v>
      </c>
      <c r="R654" t="s">
        <v>74</v>
      </c>
      <c r="S654" t="s">
        <v>74</v>
      </c>
      <c r="T654" t="s">
        <v>74</v>
      </c>
      <c r="U654" t="s">
        <v>10336</v>
      </c>
      <c r="V654" t="s">
        <v>10337</v>
      </c>
      <c r="W654" t="s">
        <v>10338</v>
      </c>
      <c r="X654" t="s">
        <v>10339</v>
      </c>
      <c r="Y654" t="s">
        <v>10340</v>
      </c>
      <c r="Z654" t="s">
        <v>10341</v>
      </c>
      <c r="AA654" t="s">
        <v>74</v>
      </c>
      <c r="AB654" t="s">
        <v>74</v>
      </c>
      <c r="AC654" t="s">
        <v>74</v>
      </c>
      <c r="AD654" t="s">
        <v>74</v>
      </c>
      <c r="AE654" t="s">
        <v>74</v>
      </c>
      <c r="AF654" t="s">
        <v>74</v>
      </c>
      <c r="AG654">
        <v>33</v>
      </c>
      <c r="AH654">
        <v>16</v>
      </c>
      <c r="AI654">
        <v>17</v>
      </c>
      <c r="AJ654">
        <v>0</v>
      </c>
      <c r="AK654">
        <v>8</v>
      </c>
      <c r="AL654" t="s">
        <v>10269</v>
      </c>
      <c r="AM654" t="s">
        <v>1112</v>
      </c>
      <c r="AN654" t="s">
        <v>10270</v>
      </c>
      <c r="AO654" t="s">
        <v>10271</v>
      </c>
      <c r="AP654" t="s">
        <v>10272</v>
      </c>
      <c r="AQ654" t="s">
        <v>74</v>
      </c>
      <c r="AR654" t="s">
        <v>10273</v>
      </c>
      <c r="AS654" t="s">
        <v>10274</v>
      </c>
      <c r="AT654" t="s">
        <v>10218</v>
      </c>
      <c r="AU654">
        <v>2006</v>
      </c>
      <c r="AV654">
        <v>38</v>
      </c>
      <c r="AW654">
        <v>4</v>
      </c>
      <c r="AX654" t="s">
        <v>74</v>
      </c>
      <c r="AY654" t="s">
        <v>74</v>
      </c>
      <c r="AZ654" t="s">
        <v>74</v>
      </c>
      <c r="BA654" t="s">
        <v>74</v>
      </c>
      <c r="BB654">
        <v>540</v>
      </c>
      <c r="BC654">
        <v>546</v>
      </c>
      <c r="BD654" t="s">
        <v>74</v>
      </c>
      <c r="BE654" t="s">
        <v>10342</v>
      </c>
      <c r="BF654" t="str">
        <f>HYPERLINK("http://dx.doi.org/10.1657/1523-0430(2006)38[540:LIAAAH]2.0.CO;2","http://dx.doi.org/10.1657/1523-0430(2006)38[540:LIAAAH]2.0.CO;2")</f>
        <v>http://dx.doi.org/10.1657/1523-0430(2006)38[540:LIAAAH]2.0.CO;2</v>
      </c>
      <c r="BG654" t="s">
        <v>74</v>
      </c>
      <c r="BH654" t="s">
        <v>74</v>
      </c>
      <c r="BI654">
        <v>7</v>
      </c>
      <c r="BJ654" t="s">
        <v>10276</v>
      </c>
      <c r="BK654" t="s">
        <v>97</v>
      </c>
      <c r="BL654" t="s">
        <v>3353</v>
      </c>
      <c r="BM654" t="s">
        <v>10277</v>
      </c>
      <c r="BN654" t="s">
        <v>74</v>
      </c>
      <c r="BO654" t="s">
        <v>1384</v>
      </c>
      <c r="BP654" t="s">
        <v>74</v>
      </c>
      <c r="BQ654" t="s">
        <v>74</v>
      </c>
      <c r="BR654" t="s">
        <v>100</v>
      </c>
      <c r="BS654" t="s">
        <v>10343</v>
      </c>
      <c r="BT654" t="str">
        <f>HYPERLINK("https%3A%2F%2Fwww.webofscience.com%2Fwos%2Fwoscc%2Ffull-record%2FWOS:000242509200007","View Full Record in Web of Science")</f>
        <v>View Full Record in Web of Science</v>
      </c>
    </row>
    <row r="655" spans="1:72" x14ac:dyDescent="0.15">
      <c r="A655" t="s">
        <v>72</v>
      </c>
      <c r="B655" t="s">
        <v>10344</v>
      </c>
      <c r="C655" t="s">
        <v>74</v>
      </c>
      <c r="D655" t="s">
        <v>74</v>
      </c>
      <c r="E655" t="s">
        <v>74</v>
      </c>
      <c r="F655" t="s">
        <v>10345</v>
      </c>
      <c r="G655" t="s">
        <v>74</v>
      </c>
      <c r="H655" t="s">
        <v>74</v>
      </c>
      <c r="I655" t="s">
        <v>10346</v>
      </c>
      <c r="J655" t="s">
        <v>10260</v>
      </c>
      <c r="K655" t="s">
        <v>74</v>
      </c>
      <c r="L655" t="s">
        <v>74</v>
      </c>
      <c r="M655" t="s">
        <v>78</v>
      </c>
      <c r="N655" t="s">
        <v>79</v>
      </c>
      <c r="O655" t="s">
        <v>74</v>
      </c>
      <c r="P655" t="s">
        <v>74</v>
      </c>
      <c r="Q655" t="s">
        <v>74</v>
      </c>
      <c r="R655" t="s">
        <v>74</v>
      </c>
      <c r="S655" t="s">
        <v>74</v>
      </c>
      <c r="T655" t="s">
        <v>74</v>
      </c>
      <c r="U655" t="s">
        <v>10347</v>
      </c>
      <c r="V655" t="s">
        <v>10348</v>
      </c>
      <c r="W655" t="s">
        <v>10349</v>
      </c>
      <c r="X655" t="s">
        <v>10350</v>
      </c>
      <c r="Y655" t="s">
        <v>10351</v>
      </c>
      <c r="Z655" t="s">
        <v>10352</v>
      </c>
      <c r="AA655" t="s">
        <v>74</v>
      </c>
      <c r="AB655" t="s">
        <v>74</v>
      </c>
      <c r="AC655" t="s">
        <v>74</v>
      </c>
      <c r="AD655" t="s">
        <v>74</v>
      </c>
      <c r="AE655" t="s">
        <v>74</v>
      </c>
      <c r="AF655" t="s">
        <v>74</v>
      </c>
      <c r="AG655">
        <v>26</v>
      </c>
      <c r="AH655">
        <v>15</v>
      </c>
      <c r="AI655">
        <v>21</v>
      </c>
      <c r="AJ655">
        <v>0</v>
      </c>
      <c r="AK655">
        <v>9</v>
      </c>
      <c r="AL655" t="s">
        <v>2428</v>
      </c>
      <c r="AM655" t="s">
        <v>2429</v>
      </c>
      <c r="AN655" t="s">
        <v>2430</v>
      </c>
      <c r="AO655" t="s">
        <v>10271</v>
      </c>
      <c r="AP655" t="s">
        <v>10272</v>
      </c>
      <c r="AQ655" t="s">
        <v>74</v>
      </c>
      <c r="AR655" t="s">
        <v>10273</v>
      </c>
      <c r="AS655" t="s">
        <v>10274</v>
      </c>
      <c r="AT655" t="s">
        <v>10218</v>
      </c>
      <c r="AU655">
        <v>2006</v>
      </c>
      <c r="AV655">
        <v>38</v>
      </c>
      <c r="AW655">
        <v>4</v>
      </c>
      <c r="AX655" t="s">
        <v>74</v>
      </c>
      <c r="AY655" t="s">
        <v>74</v>
      </c>
      <c r="AZ655" t="s">
        <v>74</v>
      </c>
      <c r="BA655" t="s">
        <v>74</v>
      </c>
      <c r="BB655">
        <v>547</v>
      </c>
      <c r="BC655">
        <v>560</v>
      </c>
      <c r="BD655" t="s">
        <v>74</v>
      </c>
      <c r="BE655" t="s">
        <v>10353</v>
      </c>
      <c r="BF655" t="str">
        <f>HYPERLINK("http://dx.doi.org/10.1657/1523-0430(2006)38[547:HACOIL]2.0.CO;2","http://dx.doi.org/10.1657/1523-0430(2006)38[547:HACOIL]2.0.CO;2")</f>
        <v>http://dx.doi.org/10.1657/1523-0430(2006)38[547:HACOIL]2.0.CO;2</v>
      </c>
      <c r="BG655" t="s">
        <v>74</v>
      </c>
      <c r="BH655" t="s">
        <v>74</v>
      </c>
      <c r="BI655">
        <v>14</v>
      </c>
      <c r="BJ655" t="s">
        <v>10276</v>
      </c>
      <c r="BK655" t="s">
        <v>97</v>
      </c>
      <c r="BL655" t="s">
        <v>3353</v>
      </c>
      <c r="BM655" t="s">
        <v>10277</v>
      </c>
      <c r="BN655" t="s">
        <v>74</v>
      </c>
      <c r="BO655" t="s">
        <v>1384</v>
      </c>
      <c r="BP655" t="s">
        <v>74</v>
      </c>
      <c r="BQ655" t="s">
        <v>74</v>
      </c>
      <c r="BR655" t="s">
        <v>100</v>
      </c>
      <c r="BS655" t="s">
        <v>10354</v>
      </c>
      <c r="BT655" t="str">
        <f>HYPERLINK("https%3A%2F%2Fwww.webofscience.com%2Fwos%2Fwoscc%2Ffull-record%2FWOS:000242509200008","View Full Record in Web of Science")</f>
        <v>View Full Record in Web of Science</v>
      </c>
    </row>
    <row r="656" spans="1:72" x14ac:dyDescent="0.15">
      <c r="A656" t="s">
        <v>72</v>
      </c>
      <c r="B656" t="s">
        <v>10355</v>
      </c>
      <c r="C656" t="s">
        <v>74</v>
      </c>
      <c r="D656" t="s">
        <v>74</v>
      </c>
      <c r="E656" t="s">
        <v>74</v>
      </c>
      <c r="F656" t="s">
        <v>10356</v>
      </c>
      <c r="G656" t="s">
        <v>74</v>
      </c>
      <c r="H656" t="s">
        <v>74</v>
      </c>
      <c r="I656" t="s">
        <v>10357</v>
      </c>
      <c r="J656" t="s">
        <v>10260</v>
      </c>
      <c r="K656" t="s">
        <v>74</v>
      </c>
      <c r="L656" t="s">
        <v>74</v>
      </c>
      <c r="M656" t="s">
        <v>78</v>
      </c>
      <c r="N656" t="s">
        <v>79</v>
      </c>
      <c r="O656" t="s">
        <v>74</v>
      </c>
      <c r="P656" t="s">
        <v>74</v>
      </c>
      <c r="Q656" t="s">
        <v>74</v>
      </c>
      <c r="R656" t="s">
        <v>74</v>
      </c>
      <c r="S656" t="s">
        <v>74</v>
      </c>
      <c r="T656" t="s">
        <v>74</v>
      </c>
      <c r="U656" t="s">
        <v>10358</v>
      </c>
      <c r="V656" t="s">
        <v>10359</v>
      </c>
      <c r="W656" t="s">
        <v>10360</v>
      </c>
      <c r="X656" t="s">
        <v>10361</v>
      </c>
      <c r="Y656" t="s">
        <v>10362</v>
      </c>
      <c r="Z656" t="s">
        <v>10363</v>
      </c>
      <c r="AA656" t="s">
        <v>10364</v>
      </c>
      <c r="AB656" t="s">
        <v>10365</v>
      </c>
      <c r="AC656" t="s">
        <v>74</v>
      </c>
      <c r="AD656" t="s">
        <v>74</v>
      </c>
      <c r="AE656" t="s">
        <v>74</v>
      </c>
      <c r="AF656" t="s">
        <v>74</v>
      </c>
      <c r="AG656">
        <v>39</v>
      </c>
      <c r="AH656">
        <v>41</v>
      </c>
      <c r="AI656">
        <v>42</v>
      </c>
      <c r="AJ656">
        <v>0</v>
      </c>
      <c r="AK656">
        <v>20</v>
      </c>
      <c r="AL656" t="s">
        <v>2428</v>
      </c>
      <c r="AM656" t="s">
        <v>2429</v>
      </c>
      <c r="AN656" t="s">
        <v>2430</v>
      </c>
      <c r="AO656" t="s">
        <v>10271</v>
      </c>
      <c r="AP656" t="s">
        <v>10272</v>
      </c>
      <c r="AQ656" t="s">
        <v>74</v>
      </c>
      <c r="AR656" t="s">
        <v>10273</v>
      </c>
      <c r="AS656" t="s">
        <v>10274</v>
      </c>
      <c r="AT656" t="s">
        <v>10218</v>
      </c>
      <c r="AU656">
        <v>2006</v>
      </c>
      <c r="AV656">
        <v>38</v>
      </c>
      <c r="AW656">
        <v>4</v>
      </c>
      <c r="AX656" t="s">
        <v>74</v>
      </c>
      <c r="AY656" t="s">
        <v>74</v>
      </c>
      <c r="AZ656" t="s">
        <v>74</v>
      </c>
      <c r="BA656" t="s">
        <v>74</v>
      </c>
      <c r="BB656">
        <v>561</v>
      </c>
      <c r="BC656">
        <v>570</v>
      </c>
      <c r="BD656" t="s">
        <v>74</v>
      </c>
      <c r="BE656" t="s">
        <v>10366</v>
      </c>
      <c r="BF656" t="str">
        <f>HYPERLINK("http://dx.doi.org/10.1657/1523-0430(2006)38[561:TFAVDI]2.0.CO;2","http://dx.doi.org/10.1657/1523-0430(2006)38[561:TFAVDI]2.0.CO;2")</f>
        <v>http://dx.doi.org/10.1657/1523-0430(2006)38[561:TFAVDI]2.0.CO;2</v>
      </c>
      <c r="BG656" t="s">
        <v>74</v>
      </c>
      <c r="BH656" t="s">
        <v>74</v>
      </c>
      <c r="BI656">
        <v>10</v>
      </c>
      <c r="BJ656" t="s">
        <v>10276</v>
      </c>
      <c r="BK656" t="s">
        <v>97</v>
      </c>
      <c r="BL656" t="s">
        <v>3353</v>
      </c>
      <c r="BM656" t="s">
        <v>10277</v>
      </c>
      <c r="BN656" t="s">
        <v>74</v>
      </c>
      <c r="BO656" t="s">
        <v>3809</v>
      </c>
      <c r="BP656" t="s">
        <v>74</v>
      </c>
      <c r="BQ656" t="s">
        <v>74</v>
      </c>
      <c r="BR656" t="s">
        <v>100</v>
      </c>
      <c r="BS656" t="s">
        <v>10367</v>
      </c>
      <c r="BT656" t="str">
        <f>HYPERLINK("https%3A%2F%2Fwww.webofscience.com%2Fwos%2Fwoscc%2Ffull-record%2FWOS:000242509200009","View Full Record in Web of Science")</f>
        <v>View Full Record in Web of Science</v>
      </c>
    </row>
    <row r="657" spans="1:72" x14ac:dyDescent="0.15">
      <c r="A657" t="s">
        <v>72</v>
      </c>
      <c r="B657" t="s">
        <v>10368</v>
      </c>
      <c r="C657" t="s">
        <v>74</v>
      </c>
      <c r="D657" t="s">
        <v>74</v>
      </c>
      <c r="E657" t="s">
        <v>74</v>
      </c>
      <c r="F657" t="s">
        <v>10369</v>
      </c>
      <c r="G657" t="s">
        <v>74</v>
      </c>
      <c r="H657" t="s">
        <v>74</v>
      </c>
      <c r="I657" t="s">
        <v>10370</v>
      </c>
      <c r="J657" t="s">
        <v>10260</v>
      </c>
      <c r="K657" t="s">
        <v>74</v>
      </c>
      <c r="L657" t="s">
        <v>74</v>
      </c>
      <c r="M657" t="s">
        <v>78</v>
      </c>
      <c r="N657" t="s">
        <v>79</v>
      </c>
      <c r="O657" t="s">
        <v>74</v>
      </c>
      <c r="P657" t="s">
        <v>74</v>
      </c>
      <c r="Q657" t="s">
        <v>74</v>
      </c>
      <c r="R657" t="s">
        <v>74</v>
      </c>
      <c r="S657" t="s">
        <v>74</v>
      </c>
      <c r="T657" t="s">
        <v>74</v>
      </c>
      <c r="U657" t="s">
        <v>10371</v>
      </c>
      <c r="V657" t="s">
        <v>10372</v>
      </c>
      <c r="W657" t="s">
        <v>10373</v>
      </c>
      <c r="X657" t="s">
        <v>10374</v>
      </c>
      <c r="Y657" t="s">
        <v>10375</v>
      </c>
      <c r="Z657" t="s">
        <v>10376</v>
      </c>
      <c r="AA657" t="s">
        <v>74</v>
      </c>
      <c r="AB657" t="s">
        <v>10377</v>
      </c>
      <c r="AC657" t="s">
        <v>74</v>
      </c>
      <c r="AD657" t="s">
        <v>74</v>
      </c>
      <c r="AE657" t="s">
        <v>74</v>
      </c>
      <c r="AF657" t="s">
        <v>74</v>
      </c>
      <c r="AG657">
        <v>81</v>
      </c>
      <c r="AH657">
        <v>9</v>
      </c>
      <c r="AI657">
        <v>11</v>
      </c>
      <c r="AJ657">
        <v>3</v>
      </c>
      <c r="AK657">
        <v>14</v>
      </c>
      <c r="AL657" t="s">
        <v>2428</v>
      </c>
      <c r="AM657" t="s">
        <v>2429</v>
      </c>
      <c r="AN657" t="s">
        <v>2430</v>
      </c>
      <c r="AO657" t="s">
        <v>10271</v>
      </c>
      <c r="AP657" t="s">
        <v>10272</v>
      </c>
      <c r="AQ657" t="s">
        <v>74</v>
      </c>
      <c r="AR657" t="s">
        <v>10273</v>
      </c>
      <c r="AS657" t="s">
        <v>10274</v>
      </c>
      <c r="AT657" t="s">
        <v>10218</v>
      </c>
      <c r="AU657">
        <v>2006</v>
      </c>
      <c r="AV657">
        <v>38</v>
      </c>
      <c r="AW657">
        <v>4</v>
      </c>
      <c r="AX657" t="s">
        <v>74</v>
      </c>
      <c r="AY657" t="s">
        <v>74</v>
      </c>
      <c r="AZ657" t="s">
        <v>74</v>
      </c>
      <c r="BA657" t="s">
        <v>74</v>
      </c>
      <c r="BB657">
        <v>571</v>
      </c>
      <c r="BC657">
        <v>583</v>
      </c>
      <c r="BD657" t="s">
        <v>74</v>
      </c>
      <c r="BE657" t="s">
        <v>10378</v>
      </c>
      <c r="BF657" t="str">
        <f>HYPERLINK("http://dx.doi.org/10.1657/1523-0430(2006)38[571:HEACHO]2.0.CO;2","http://dx.doi.org/10.1657/1523-0430(2006)38[571:HEACHO]2.0.CO;2")</f>
        <v>http://dx.doi.org/10.1657/1523-0430(2006)38[571:HEACHO]2.0.CO;2</v>
      </c>
      <c r="BG657" t="s">
        <v>74</v>
      </c>
      <c r="BH657" t="s">
        <v>74</v>
      </c>
      <c r="BI657">
        <v>13</v>
      </c>
      <c r="BJ657" t="s">
        <v>10276</v>
      </c>
      <c r="BK657" t="s">
        <v>97</v>
      </c>
      <c r="BL657" t="s">
        <v>3353</v>
      </c>
      <c r="BM657" t="s">
        <v>10277</v>
      </c>
      <c r="BN657" t="s">
        <v>74</v>
      </c>
      <c r="BO657" t="s">
        <v>4307</v>
      </c>
      <c r="BP657" t="s">
        <v>74</v>
      </c>
      <c r="BQ657" t="s">
        <v>74</v>
      </c>
      <c r="BR657" t="s">
        <v>100</v>
      </c>
      <c r="BS657" t="s">
        <v>10379</v>
      </c>
      <c r="BT657" t="str">
        <f>HYPERLINK("https%3A%2F%2Fwww.webofscience.com%2Fwos%2Fwoscc%2Ffull-record%2FWOS:000242509200010","View Full Record in Web of Science")</f>
        <v>View Full Record in Web of Science</v>
      </c>
    </row>
    <row r="658" spans="1:72" x14ac:dyDescent="0.15">
      <c r="A658" t="s">
        <v>72</v>
      </c>
      <c r="B658" t="s">
        <v>10380</v>
      </c>
      <c r="C658" t="s">
        <v>74</v>
      </c>
      <c r="D658" t="s">
        <v>74</v>
      </c>
      <c r="E658" t="s">
        <v>74</v>
      </c>
      <c r="F658" t="s">
        <v>10381</v>
      </c>
      <c r="G658" t="s">
        <v>74</v>
      </c>
      <c r="H658" t="s">
        <v>74</v>
      </c>
      <c r="I658" t="s">
        <v>10382</v>
      </c>
      <c r="J658" t="s">
        <v>10260</v>
      </c>
      <c r="K658" t="s">
        <v>74</v>
      </c>
      <c r="L658" t="s">
        <v>74</v>
      </c>
      <c r="M658" t="s">
        <v>78</v>
      </c>
      <c r="N658" t="s">
        <v>79</v>
      </c>
      <c r="O658" t="s">
        <v>74</v>
      </c>
      <c r="P658" t="s">
        <v>74</v>
      </c>
      <c r="Q658" t="s">
        <v>74</v>
      </c>
      <c r="R658" t="s">
        <v>74</v>
      </c>
      <c r="S658" t="s">
        <v>74</v>
      </c>
      <c r="T658" t="s">
        <v>74</v>
      </c>
      <c r="U658" t="s">
        <v>10383</v>
      </c>
      <c r="V658" t="s">
        <v>10384</v>
      </c>
      <c r="W658" t="s">
        <v>10385</v>
      </c>
      <c r="X658" t="s">
        <v>10386</v>
      </c>
      <c r="Y658" t="s">
        <v>10387</v>
      </c>
      <c r="Z658" t="s">
        <v>10388</v>
      </c>
      <c r="AA658" t="s">
        <v>10389</v>
      </c>
      <c r="AB658" t="s">
        <v>10390</v>
      </c>
      <c r="AC658" t="s">
        <v>74</v>
      </c>
      <c r="AD658" t="s">
        <v>74</v>
      </c>
      <c r="AE658" t="s">
        <v>74</v>
      </c>
      <c r="AF658" t="s">
        <v>74</v>
      </c>
      <c r="AG658">
        <v>54</v>
      </c>
      <c r="AH658">
        <v>24</v>
      </c>
      <c r="AI658">
        <v>26</v>
      </c>
      <c r="AJ658">
        <v>0</v>
      </c>
      <c r="AK658">
        <v>11</v>
      </c>
      <c r="AL658" t="s">
        <v>2428</v>
      </c>
      <c r="AM658" t="s">
        <v>2429</v>
      </c>
      <c r="AN658" t="s">
        <v>2430</v>
      </c>
      <c r="AO658" t="s">
        <v>10271</v>
      </c>
      <c r="AP658" t="s">
        <v>10272</v>
      </c>
      <c r="AQ658" t="s">
        <v>74</v>
      </c>
      <c r="AR658" t="s">
        <v>10273</v>
      </c>
      <c r="AS658" t="s">
        <v>10274</v>
      </c>
      <c r="AT658" t="s">
        <v>10218</v>
      </c>
      <c r="AU658">
        <v>2006</v>
      </c>
      <c r="AV658">
        <v>38</v>
      </c>
      <c r="AW658">
        <v>4</v>
      </c>
      <c r="AX658" t="s">
        <v>74</v>
      </c>
      <c r="AY658" t="s">
        <v>74</v>
      </c>
      <c r="AZ658" t="s">
        <v>74</v>
      </c>
      <c r="BA658" t="s">
        <v>74</v>
      </c>
      <c r="BB658">
        <v>584</v>
      </c>
      <c r="BC658">
        <v>592</v>
      </c>
      <c r="BD658" t="s">
        <v>74</v>
      </c>
      <c r="BE658" t="s">
        <v>10391</v>
      </c>
      <c r="BF658" t="str">
        <f>HYPERLINK("http://dx.doi.org/10.1657/1523-0430(2006)38[584:EOPWOA]2.0.CO;2","http://dx.doi.org/10.1657/1523-0430(2006)38[584:EOPWOA]2.0.CO;2")</f>
        <v>http://dx.doi.org/10.1657/1523-0430(2006)38[584:EOPWOA]2.0.CO;2</v>
      </c>
      <c r="BG658" t="s">
        <v>74</v>
      </c>
      <c r="BH658" t="s">
        <v>74</v>
      </c>
      <c r="BI658">
        <v>9</v>
      </c>
      <c r="BJ658" t="s">
        <v>10276</v>
      </c>
      <c r="BK658" t="s">
        <v>97</v>
      </c>
      <c r="BL658" t="s">
        <v>3353</v>
      </c>
      <c r="BM658" t="s">
        <v>10277</v>
      </c>
      <c r="BN658" t="s">
        <v>74</v>
      </c>
      <c r="BO658" t="s">
        <v>5431</v>
      </c>
      <c r="BP658" t="s">
        <v>74</v>
      </c>
      <c r="BQ658" t="s">
        <v>74</v>
      </c>
      <c r="BR658" t="s">
        <v>100</v>
      </c>
      <c r="BS658" t="s">
        <v>10392</v>
      </c>
      <c r="BT658" t="str">
        <f>HYPERLINK("https%3A%2F%2Fwww.webofscience.com%2Fwos%2Fwoscc%2Ffull-record%2FWOS:000242509200011","View Full Record in Web of Science")</f>
        <v>View Full Record in Web of Science</v>
      </c>
    </row>
    <row r="659" spans="1:72" x14ac:dyDescent="0.15">
      <c r="A659" t="s">
        <v>72</v>
      </c>
      <c r="B659" t="s">
        <v>10393</v>
      </c>
      <c r="C659" t="s">
        <v>74</v>
      </c>
      <c r="D659" t="s">
        <v>74</v>
      </c>
      <c r="E659" t="s">
        <v>74</v>
      </c>
      <c r="F659" t="s">
        <v>10394</v>
      </c>
      <c r="G659" t="s">
        <v>74</v>
      </c>
      <c r="H659" t="s">
        <v>74</v>
      </c>
      <c r="I659" t="s">
        <v>10395</v>
      </c>
      <c r="J659" t="s">
        <v>10260</v>
      </c>
      <c r="K659" t="s">
        <v>74</v>
      </c>
      <c r="L659" t="s">
        <v>74</v>
      </c>
      <c r="M659" t="s">
        <v>78</v>
      </c>
      <c r="N659" t="s">
        <v>79</v>
      </c>
      <c r="O659" t="s">
        <v>74</v>
      </c>
      <c r="P659" t="s">
        <v>74</v>
      </c>
      <c r="Q659" t="s">
        <v>74</v>
      </c>
      <c r="R659" t="s">
        <v>74</v>
      </c>
      <c r="S659" t="s">
        <v>74</v>
      </c>
      <c r="T659" t="s">
        <v>74</v>
      </c>
      <c r="U659" t="s">
        <v>10396</v>
      </c>
      <c r="V659" t="s">
        <v>10397</v>
      </c>
      <c r="W659" t="s">
        <v>10398</v>
      </c>
      <c r="X659" t="s">
        <v>10399</v>
      </c>
      <c r="Y659" t="s">
        <v>10400</v>
      </c>
      <c r="Z659" t="s">
        <v>10401</v>
      </c>
      <c r="AA659" t="s">
        <v>10402</v>
      </c>
      <c r="AB659" t="s">
        <v>10403</v>
      </c>
      <c r="AC659" t="s">
        <v>74</v>
      </c>
      <c r="AD659" t="s">
        <v>74</v>
      </c>
      <c r="AE659" t="s">
        <v>74</v>
      </c>
      <c r="AF659" t="s">
        <v>74</v>
      </c>
      <c r="AG659">
        <v>60</v>
      </c>
      <c r="AH659">
        <v>30</v>
      </c>
      <c r="AI659">
        <v>35</v>
      </c>
      <c r="AJ659">
        <v>0</v>
      </c>
      <c r="AK659">
        <v>13</v>
      </c>
      <c r="AL659" t="s">
        <v>10269</v>
      </c>
      <c r="AM659" t="s">
        <v>1112</v>
      </c>
      <c r="AN659" t="s">
        <v>10270</v>
      </c>
      <c r="AO659" t="s">
        <v>10271</v>
      </c>
      <c r="AP659" t="s">
        <v>74</v>
      </c>
      <c r="AQ659" t="s">
        <v>74</v>
      </c>
      <c r="AR659" t="s">
        <v>10273</v>
      </c>
      <c r="AS659" t="s">
        <v>10274</v>
      </c>
      <c r="AT659" t="s">
        <v>10218</v>
      </c>
      <c r="AU659">
        <v>2006</v>
      </c>
      <c r="AV659">
        <v>38</v>
      </c>
      <c r="AW659">
        <v>4</v>
      </c>
      <c r="AX659" t="s">
        <v>74</v>
      </c>
      <c r="AY659" t="s">
        <v>74</v>
      </c>
      <c r="AZ659" t="s">
        <v>74</v>
      </c>
      <c r="BA659" t="s">
        <v>74</v>
      </c>
      <c r="BB659">
        <v>593</v>
      </c>
      <c r="BC659">
        <v>607</v>
      </c>
      <c r="BD659" t="s">
        <v>74</v>
      </c>
      <c r="BE659" t="s">
        <v>10404</v>
      </c>
      <c r="BF659" t="str">
        <f>HYPERLINK("http://dx.doi.org/10.1657/1523-0430(2006)38[593:EGFHAM]2.0.CO;2","http://dx.doi.org/10.1657/1523-0430(2006)38[593:EGFHAM]2.0.CO;2")</f>
        <v>http://dx.doi.org/10.1657/1523-0430(2006)38[593:EGFHAM]2.0.CO;2</v>
      </c>
      <c r="BG659" t="s">
        <v>74</v>
      </c>
      <c r="BH659" t="s">
        <v>74</v>
      </c>
      <c r="BI659">
        <v>15</v>
      </c>
      <c r="BJ659" t="s">
        <v>10276</v>
      </c>
      <c r="BK659" t="s">
        <v>97</v>
      </c>
      <c r="BL659" t="s">
        <v>3353</v>
      </c>
      <c r="BM659" t="s">
        <v>10277</v>
      </c>
      <c r="BN659" t="s">
        <v>74</v>
      </c>
      <c r="BO659" t="s">
        <v>74</v>
      </c>
      <c r="BP659" t="s">
        <v>74</v>
      </c>
      <c r="BQ659" t="s">
        <v>74</v>
      </c>
      <c r="BR659" t="s">
        <v>100</v>
      </c>
      <c r="BS659" t="s">
        <v>10405</v>
      </c>
      <c r="BT659" t="str">
        <f>HYPERLINK("https%3A%2F%2Fwww.webofscience.com%2Fwos%2Fwoscc%2Ffull-record%2FWOS:000242509200012","View Full Record in Web of Science")</f>
        <v>View Full Record in Web of Science</v>
      </c>
    </row>
    <row r="660" spans="1:72" x14ac:dyDescent="0.15">
      <c r="A660" t="s">
        <v>72</v>
      </c>
      <c r="B660" t="s">
        <v>10406</v>
      </c>
      <c r="C660" t="s">
        <v>74</v>
      </c>
      <c r="D660" t="s">
        <v>74</v>
      </c>
      <c r="E660" t="s">
        <v>74</v>
      </c>
      <c r="F660" t="s">
        <v>10407</v>
      </c>
      <c r="G660" t="s">
        <v>74</v>
      </c>
      <c r="H660" t="s">
        <v>74</v>
      </c>
      <c r="I660" t="s">
        <v>10408</v>
      </c>
      <c r="J660" t="s">
        <v>10260</v>
      </c>
      <c r="K660" t="s">
        <v>74</v>
      </c>
      <c r="L660" t="s">
        <v>74</v>
      </c>
      <c r="M660" t="s">
        <v>78</v>
      </c>
      <c r="N660" t="s">
        <v>79</v>
      </c>
      <c r="O660" t="s">
        <v>74</v>
      </c>
      <c r="P660" t="s">
        <v>74</v>
      </c>
      <c r="Q660" t="s">
        <v>74</v>
      </c>
      <c r="R660" t="s">
        <v>74</v>
      </c>
      <c r="S660" t="s">
        <v>74</v>
      </c>
      <c r="T660" t="s">
        <v>74</v>
      </c>
      <c r="U660" t="s">
        <v>10409</v>
      </c>
      <c r="V660" t="s">
        <v>10410</v>
      </c>
      <c r="W660" t="s">
        <v>10411</v>
      </c>
      <c r="X660" t="s">
        <v>10412</v>
      </c>
      <c r="Y660" t="s">
        <v>10413</v>
      </c>
      <c r="Z660" t="s">
        <v>10414</v>
      </c>
      <c r="AA660" t="s">
        <v>10415</v>
      </c>
      <c r="AB660" t="s">
        <v>10416</v>
      </c>
      <c r="AC660" t="s">
        <v>74</v>
      </c>
      <c r="AD660" t="s">
        <v>74</v>
      </c>
      <c r="AE660" t="s">
        <v>74</v>
      </c>
      <c r="AF660" t="s">
        <v>74</v>
      </c>
      <c r="AG660">
        <v>46</v>
      </c>
      <c r="AH660">
        <v>32</v>
      </c>
      <c r="AI660">
        <v>36</v>
      </c>
      <c r="AJ660">
        <v>0</v>
      </c>
      <c r="AK660">
        <v>23</v>
      </c>
      <c r="AL660" t="s">
        <v>10269</v>
      </c>
      <c r="AM660" t="s">
        <v>1112</v>
      </c>
      <c r="AN660" t="s">
        <v>10270</v>
      </c>
      <c r="AO660" t="s">
        <v>10271</v>
      </c>
      <c r="AP660" t="s">
        <v>10272</v>
      </c>
      <c r="AQ660" t="s">
        <v>74</v>
      </c>
      <c r="AR660" t="s">
        <v>10273</v>
      </c>
      <c r="AS660" t="s">
        <v>10274</v>
      </c>
      <c r="AT660" t="s">
        <v>10218</v>
      </c>
      <c r="AU660">
        <v>2006</v>
      </c>
      <c r="AV660">
        <v>38</v>
      </c>
      <c r="AW660">
        <v>4</v>
      </c>
      <c r="AX660" t="s">
        <v>74</v>
      </c>
      <c r="AY660" t="s">
        <v>74</v>
      </c>
      <c r="AZ660" t="s">
        <v>74</v>
      </c>
      <c r="BA660" t="s">
        <v>74</v>
      </c>
      <c r="BB660">
        <v>608</v>
      </c>
      <c r="BC660">
        <v>613</v>
      </c>
      <c r="BD660" t="s">
        <v>74</v>
      </c>
      <c r="BE660" t="s">
        <v>10417</v>
      </c>
      <c r="BF660" t="str">
        <f>HYPERLINK("http://dx.doi.org/10.1657/1523-0430(2006)38[608:PLASVO]2.0.CO;2","http://dx.doi.org/10.1657/1523-0430(2006)38[608:PLASVO]2.0.CO;2")</f>
        <v>http://dx.doi.org/10.1657/1523-0430(2006)38[608:PLASVO]2.0.CO;2</v>
      </c>
      <c r="BG660" t="s">
        <v>74</v>
      </c>
      <c r="BH660" t="s">
        <v>74</v>
      </c>
      <c r="BI660">
        <v>6</v>
      </c>
      <c r="BJ660" t="s">
        <v>10276</v>
      </c>
      <c r="BK660" t="s">
        <v>97</v>
      </c>
      <c r="BL660" t="s">
        <v>3353</v>
      </c>
      <c r="BM660" t="s">
        <v>10277</v>
      </c>
      <c r="BN660" t="s">
        <v>74</v>
      </c>
      <c r="BO660" t="s">
        <v>1384</v>
      </c>
      <c r="BP660" t="s">
        <v>74</v>
      </c>
      <c r="BQ660" t="s">
        <v>74</v>
      </c>
      <c r="BR660" t="s">
        <v>100</v>
      </c>
      <c r="BS660" t="s">
        <v>10418</v>
      </c>
      <c r="BT660" t="str">
        <f>HYPERLINK("https%3A%2F%2Fwww.webofscience.com%2Fwos%2Fwoscc%2Ffull-record%2FWOS:000242509200013","View Full Record in Web of Science")</f>
        <v>View Full Record in Web of Science</v>
      </c>
    </row>
    <row r="661" spans="1:72" x14ac:dyDescent="0.15">
      <c r="A661" t="s">
        <v>72</v>
      </c>
      <c r="B661" t="s">
        <v>10419</v>
      </c>
      <c r="C661" t="s">
        <v>74</v>
      </c>
      <c r="D661" t="s">
        <v>74</v>
      </c>
      <c r="E661" t="s">
        <v>74</v>
      </c>
      <c r="F661" t="s">
        <v>10420</v>
      </c>
      <c r="G661" t="s">
        <v>74</v>
      </c>
      <c r="H661" t="s">
        <v>74</v>
      </c>
      <c r="I661" t="s">
        <v>10421</v>
      </c>
      <c r="J661" t="s">
        <v>10260</v>
      </c>
      <c r="K661" t="s">
        <v>74</v>
      </c>
      <c r="L661" t="s">
        <v>74</v>
      </c>
      <c r="M661" t="s">
        <v>78</v>
      </c>
      <c r="N661" t="s">
        <v>79</v>
      </c>
      <c r="O661" t="s">
        <v>74</v>
      </c>
      <c r="P661" t="s">
        <v>74</v>
      </c>
      <c r="Q661" t="s">
        <v>74</v>
      </c>
      <c r="R661" t="s">
        <v>74</v>
      </c>
      <c r="S661" t="s">
        <v>74</v>
      </c>
      <c r="T661" t="s">
        <v>74</v>
      </c>
      <c r="U661" t="s">
        <v>10422</v>
      </c>
      <c r="V661" t="s">
        <v>10423</v>
      </c>
      <c r="W661" t="s">
        <v>10424</v>
      </c>
      <c r="X661" t="s">
        <v>7127</v>
      </c>
      <c r="Y661" t="s">
        <v>10425</v>
      </c>
      <c r="Z661" t="s">
        <v>10426</v>
      </c>
      <c r="AA661" t="s">
        <v>74</v>
      </c>
      <c r="AB661" t="s">
        <v>10427</v>
      </c>
      <c r="AC661" t="s">
        <v>74</v>
      </c>
      <c r="AD661" t="s">
        <v>74</v>
      </c>
      <c r="AE661" t="s">
        <v>74</v>
      </c>
      <c r="AF661" t="s">
        <v>74</v>
      </c>
      <c r="AG661">
        <v>43</v>
      </c>
      <c r="AH661">
        <v>19</v>
      </c>
      <c r="AI661">
        <v>22</v>
      </c>
      <c r="AJ661">
        <v>1</v>
      </c>
      <c r="AK661">
        <v>10</v>
      </c>
      <c r="AL661" t="s">
        <v>10269</v>
      </c>
      <c r="AM661" t="s">
        <v>1112</v>
      </c>
      <c r="AN661" t="s">
        <v>10270</v>
      </c>
      <c r="AO661" t="s">
        <v>10271</v>
      </c>
      <c r="AP661" t="s">
        <v>74</v>
      </c>
      <c r="AQ661" t="s">
        <v>74</v>
      </c>
      <c r="AR661" t="s">
        <v>10273</v>
      </c>
      <c r="AS661" t="s">
        <v>10274</v>
      </c>
      <c r="AT661" t="s">
        <v>10218</v>
      </c>
      <c r="AU661">
        <v>2006</v>
      </c>
      <c r="AV661">
        <v>38</v>
      </c>
      <c r="AW661">
        <v>4</v>
      </c>
      <c r="AX661" t="s">
        <v>74</v>
      </c>
      <c r="AY661" t="s">
        <v>74</v>
      </c>
      <c r="AZ661" t="s">
        <v>74</v>
      </c>
      <c r="BA661" t="s">
        <v>74</v>
      </c>
      <c r="BB661">
        <v>614</v>
      </c>
      <c r="BC661">
        <v>623</v>
      </c>
      <c r="BD661" t="s">
        <v>74</v>
      </c>
      <c r="BE661" t="s">
        <v>10428</v>
      </c>
      <c r="BF661" t="str">
        <f>HYPERLINK("http://dx.doi.org/10.1657/1523-0430(2006)38[614:CAEIOM]2.0.CO;2","http://dx.doi.org/10.1657/1523-0430(2006)38[614:CAEIOM]2.0.CO;2")</f>
        <v>http://dx.doi.org/10.1657/1523-0430(2006)38[614:CAEIOM]2.0.CO;2</v>
      </c>
      <c r="BG661" t="s">
        <v>74</v>
      </c>
      <c r="BH661" t="s">
        <v>74</v>
      </c>
      <c r="BI661">
        <v>10</v>
      </c>
      <c r="BJ661" t="s">
        <v>10276</v>
      </c>
      <c r="BK661" t="s">
        <v>97</v>
      </c>
      <c r="BL661" t="s">
        <v>3353</v>
      </c>
      <c r="BM661" t="s">
        <v>10277</v>
      </c>
      <c r="BN661" t="s">
        <v>74</v>
      </c>
      <c r="BO661" t="s">
        <v>3809</v>
      </c>
      <c r="BP661" t="s">
        <v>74</v>
      </c>
      <c r="BQ661" t="s">
        <v>74</v>
      </c>
      <c r="BR661" t="s">
        <v>100</v>
      </c>
      <c r="BS661" t="s">
        <v>10429</v>
      </c>
      <c r="BT661" t="str">
        <f>HYPERLINK("https%3A%2F%2Fwww.webofscience.com%2Fwos%2Fwoscc%2Ffull-record%2FWOS:000242509200014","View Full Record in Web of Science")</f>
        <v>View Full Record in Web of Science</v>
      </c>
    </row>
    <row r="662" spans="1:72" x14ac:dyDescent="0.15">
      <c r="A662" t="s">
        <v>72</v>
      </c>
      <c r="B662" t="s">
        <v>10430</v>
      </c>
      <c r="C662" t="s">
        <v>74</v>
      </c>
      <c r="D662" t="s">
        <v>74</v>
      </c>
      <c r="E662" t="s">
        <v>74</v>
      </c>
      <c r="F662" t="s">
        <v>10431</v>
      </c>
      <c r="G662" t="s">
        <v>74</v>
      </c>
      <c r="H662" t="s">
        <v>74</v>
      </c>
      <c r="I662" t="s">
        <v>10432</v>
      </c>
      <c r="J662" t="s">
        <v>10260</v>
      </c>
      <c r="K662" t="s">
        <v>74</v>
      </c>
      <c r="L662" t="s">
        <v>74</v>
      </c>
      <c r="M662" t="s">
        <v>78</v>
      </c>
      <c r="N662" t="s">
        <v>79</v>
      </c>
      <c r="O662" t="s">
        <v>74</v>
      </c>
      <c r="P662" t="s">
        <v>74</v>
      </c>
      <c r="Q662" t="s">
        <v>74</v>
      </c>
      <c r="R662" t="s">
        <v>74</v>
      </c>
      <c r="S662" t="s">
        <v>74</v>
      </c>
      <c r="T662" t="s">
        <v>74</v>
      </c>
      <c r="U662" t="s">
        <v>74</v>
      </c>
      <c r="V662" t="s">
        <v>10433</v>
      </c>
      <c r="W662" t="s">
        <v>10434</v>
      </c>
      <c r="X662" t="s">
        <v>720</v>
      </c>
      <c r="Y662" t="s">
        <v>10435</v>
      </c>
      <c r="Z662" t="s">
        <v>10436</v>
      </c>
      <c r="AA662" t="s">
        <v>74</v>
      </c>
      <c r="AB662" t="s">
        <v>74</v>
      </c>
      <c r="AC662" t="s">
        <v>74</v>
      </c>
      <c r="AD662" t="s">
        <v>74</v>
      </c>
      <c r="AE662" t="s">
        <v>74</v>
      </c>
      <c r="AF662" t="s">
        <v>74</v>
      </c>
      <c r="AG662">
        <v>17</v>
      </c>
      <c r="AH662">
        <v>31</v>
      </c>
      <c r="AI662">
        <v>39</v>
      </c>
      <c r="AJ662">
        <v>0</v>
      </c>
      <c r="AK662">
        <v>27</v>
      </c>
      <c r="AL662" t="s">
        <v>2428</v>
      </c>
      <c r="AM662" t="s">
        <v>2429</v>
      </c>
      <c r="AN662" t="s">
        <v>2430</v>
      </c>
      <c r="AO662" t="s">
        <v>10271</v>
      </c>
      <c r="AP662" t="s">
        <v>10272</v>
      </c>
      <c r="AQ662" t="s">
        <v>74</v>
      </c>
      <c r="AR662" t="s">
        <v>10273</v>
      </c>
      <c r="AS662" t="s">
        <v>10274</v>
      </c>
      <c r="AT662" t="s">
        <v>10218</v>
      </c>
      <c r="AU662">
        <v>2006</v>
      </c>
      <c r="AV662">
        <v>38</v>
      </c>
      <c r="AW662">
        <v>4</v>
      </c>
      <c r="AX662" t="s">
        <v>74</v>
      </c>
      <c r="AY662" t="s">
        <v>74</v>
      </c>
      <c r="AZ662" t="s">
        <v>74</v>
      </c>
      <c r="BA662" t="s">
        <v>74</v>
      </c>
      <c r="BB662">
        <v>624</v>
      </c>
      <c r="BC662">
        <v>630</v>
      </c>
      <c r="BD662" t="s">
        <v>74</v>
      </c>
      <c r="BE662" t="s">
        <v>10437</v>
      </c>
      <c r="BF662" t="str">
        <f>HYPERLINK("http://dx.doi.org/10.1657/1523-0430(2006)38[624:LAPOBC]2.0.CO;2","http://dx.doi.org/10.1657/1523-0430(2006)38[624:LAPOBC]2.0.CO;2")</f>
        <v>http://dx.doi.org/10.1657/1523-0430(2006)38[624:LAPOBC]2.0.CO;2</v>
      </c>
      <c r="BG662" t="s">
        <v>74</v>
      </c>
      <c r="BH662" t="s">
        <v>74</v>
      </c>
      <c r="BI662">
        <v>7</v>
      </c>
      <c r="BJ662" t="s">
        <v>10276</v>
      </c>
      <c r="BK662" t="s">
        <v>97</v>
      </c>
      <c r="BL662" t="s">
        <v>3353</v>
      </c>
      <c r="BM662" t="s">
        <v>10277</v>
      </c>
      <c r="BN662" t="s">
        <v>74</v>
      </c>
      <c r="BO662" t="s">
        <v>1384</v>
      </c>
      <c r="BP662" t="s">
        <v>74</v>
      </c>
      <c r="BQ662" t="s">
        <v>74</v>
      </c>
      <c r="BR662" t="s">
        <v>100</v>
      </c>
      <c r="BS662" t="s">
        <v>10438</v>
      </c>
      <c r="BT662" t="str">
        <f>HYPERLINK("https%3A%2F%2Fwww.webofscience.com%2Fwos%2Fwoscc%2Ffull-record%2FWOS:000242509200015","View Full Record in Web of Science")</f>
        <v>View Full Record in Web of Science</v>
      </c>
    </row>
    <row r="663" spans="1:72" x14ac:dyDescent="0.15">
      <c r="A663" t="s">
        <v>72</v>
      </c>
      <c r="B663" t="s">
        <v>10439</v>
      </c>
      <c r="C663" t="s">
        <v>74</v>
      </c>
      <c r="D663" t="s">
        <v>74</v>
      </c>
      <c r="E663" t="s">
        <v>74</v>
      </c>
      <c r="F663" t="s">
        <v>10440</v>
      </c>
      <c r="G663" t="s">
        <v>74</v>
      </c>
      <c r="H663" t="s">
        <v>74</v>
      </c>
      <c r="I663" t="s">
        <v>10441</v>
      </c>
      <c r="J663" t="s">
        <v>10260</v>
      </c>
      <c r="K663" t="s">
        <v>74</v>
      </c>
      <c r="L663" t="s">
        <v>74</v>
      </c>
      <c r="M663" t="s">
        <v>78</v>
      </c>
      <c r="N663" t="s">
        <v>79</v>
      </c>
      <c r="O663" t="s">
        <v>74</v>
      </c>
      <c r="P663" t="s">
        <v>74</v>
      </c>
      <c r="Q663" t="s">
        <v>74</v>
      </c>
      <c r="R663" t="s">
        <v>74</v>
      </c>
      <c r="S663" t="s">
        <v>74</v>
      </c>
      <c r="T663" t="s">
        <v>74</v>
      </c>
      <c r="U663" t="s">
        <v>10442</v>
      </c>
      <c r="V663" t="s">
        <v>10443</v>
      </c>
      <c r="W663" t="s">
        <v>10444</v>
      </c>
      <c r="X663" t="s">
        <v>10445</v>
      </c>
      <c r="Y663" t="s">
        <v>10446</v>
      </c>
      <c r="Z663" t="s">
        <v>10447</v>
      </c>
      <c r="AA663" t="s">
        <v>74</v>
      </c>
      <c r="AB663" t="s">
        <v>10448</v>
      </c>
      <c r="AC663" t="s">
        <v>74</v>
      </c>
      <c r="AD663" t="s">
        <v>74</v>
      </c>
      <c r="AE663" t="s">
        <v>74</v>
      </c>
      <c r="AF663" t="s">
        <v>74</v>
      </c>
      <c r="AG663">
        <v>47</v>
      </c>
      <c r="AH663">
        <v>12</v>
      </c>
      <c r="AI663">
        <v>16</v>
      </c>
      <c r="AJ663">
        <v>2</v>
      </c>
      <c r="AK663">
        <v>13</v>
      </c>
      <c r="AL663" t="s">
        <v>2428</v>
      </c>
      <c r="AM663" t="s">
        <v>2429</v>
      </c>
      <c r="AN663" t="s">
        <v>2430</v>
      </c>
      <c r="AO663" t="s">
        <v>10271</v>
      </c>
      <c r="AP663" t="s">
        <v>10272</v>
      </c>
      <c r="AQ663" t="s">
        <v>74</v>
      </c>
      <c r="AR663" t="s">
        <v>10273</v>
      </c>
      <c r="AS663" t="s">
        <v>10274</v>
      </c>
      <c r="AT663" t="s">
        <v>10218</v>
      </c>
      <c r="AU663">
        <v>2006</v>
      </c>
      <c r="AV663">
        <v>38</v>
      </c>
      <c r="AW663">
        <v>4</v>
      </c>
      <c r="AX663" t="s">
        <v>74</v>
      </c>
      <c r="AY663" t="s">
        <v>74</v>
      </c>
      <c r="AZ663" t="s">
        <v>74</v>
      </c>
      <c r="BA663" t="s">
        <v>74</v>
      </c>
      <c r="BB663">
        <v>631</v>
      </c>
      <c r="BC663">
        <v>638</v>
      </c>
      <c r="BD663" t="s">
        <v>74</v>
      </c>
      <c r="BE663" t="s">
        <v>10449</v>
      </c>
      <c r="BF663" t="str">
        <f>HYPERLINK("http://dx.doi.org/10.1657/1523-0430(2006)38[631:CSBAGS]2.0.CO;2","http://dx.doi.org/10.1657/1523-0430(2006)38[631:CSBAGS]2.0.CO;2")</f>
        <v>http://dx.doi.org/10.1657/1523-0430(2006)38[631:CSBAGS]2.0.CO;2</v>
      </c>
      <c r="BG663" t="s">
        <v>74</v>
      </c>
      <c r="BH663" t="s">
        <v>74</v>
      </c>
      <c r="BI663">
        <v>8</v>
      </c>
      <c r="BJ663" t="s">
        <v>10276</v>
      </c>
      <c r="BK663" t="s">
        <v>97</v>
      </c>
      <c r="BL663" t="s">
        <v>3353</v>
      </c>
      <c r="BM663" t="s">
        <v>10277</v>
      </c>
      <c r="BN663" t="s">
        <v>74</v>
      </c>
      <c r="BO663" t="s">
        <v>3809</v>
      </c>
      <c r="BP663" t="s">
        <v>74</v>
      </c>
      <c r="BQ663" t="s">
        <v>74</v>
      </c>
      <c r="BR663" t="s">
        <v>100</v>
      </c>
      <c r="BS663" t="s">
        <v>10450</v>
      </c>
      <c r="BT663" t="str">
        <f>HYPERLINK("https%3A%2F%2Fwww.webofscience.com%2Fwos%2Fwoscc%2Ffull-record%2FWOS:000242509200016","View Full Record in Web of Science")</f>
        <v>View Full Record in Web of Science</v>
      </c>
    </row>
    <row r="664" spans="1:72" x14ac:dyDescent="0.15">
      <c r="A664" t="s">
        <v>72</v>
      </c>
      <c r="B664" t="s">
        <v>10451</v>
      </c>
      <c r="C664" t="s">
        <v>74</v>
      </c>
      <c r="D664" t="s">
        <v>74</v>
      </c>
      <c r="E664" t="s">
        <v>74</v>
      </c>
      <c r="F664" t="s">
        <v>10452</v>
      </c>
      <c r="G664" t="s">
        <v>74</v>
      </c>
      <c r="H664" t="s">
        <v>74</v>
      </c>
      <c r="I664" t="s">
        <v>10453</v>
      </c>
      <c r="J664" t="s">
        <v>10454</v>
      </c>
      <c r="K664" t="s">
        <v>74</v>
      </c>
      <c r="L664" t="s">
        <v>74</v>
      </c>
      <c r="M664" t="s">
        <v>78</v>
      </c>
      <c r="N664" t="s">
        <v>366</v>
      </c>
      <c r="O664" t="s">
        <v>74</v>
      </c>
      <c r="P664" t="s">
        <v>74</v>
      </c>
      <c r="Q664" t="s">
        <v>74</v>
      </c>
      <c r="R664" t="s">
        <v>74</v>
      </c>
      <c r="S664" t="s">
        <v>74</v>
      </c>
      <c r="T664" t="s">
        <v>10455</v>
      </c>
      <c r="U664" t="s">
        <v>10456</v>
      </c>
      <c r="V664" t="s">
        <v>10457</v>
      </c>
      <c r="W664" t="s">
        <v>10458</v>
      </c>
      <c r="X664" t="s">
        <v>10459</v>
      </c>
      <c r="Y664" t="s">
        <v>10460</v>
      </c>
      <c r="Z664" t="s">
        <v>74</v>
      </c>
      <c r="AA664" t="s">
        <v>10461</v>
      </c>
      <c r="AB664" t="s">
        <v>74</v>
      </c>
      <c r="AC664" t="s">
        <v>4484</v>
      </c>
      <c r="AD664" t="s">
        <v>1254</v>
      </c>
      <c r="AE664" t="s">
        <v>74</v>
      </c>
      <c r="AF664" t="s">
        <v>74</v>
      </c>
      <c r="AG664">
        <v>171</v>
      </c>
      <c r="AH664">
        <v>99</v>
      </c>
      <c r="AI664">
        <v>108</v>
      </c>
      <c r="AJ664">
        <v>2</v>
      </c>
      <c r="AK664">
        <v>58</v>
      </c>
      <c r="AL664" t="s">
        <v>159</v>
      </c>
      <c r="AM664" t="s">
        <v>160</v>
      </c>
      <c r="AN664" t="s">
        <v>161</v>
      </c>
      <c r="AO664" t="s">
        <v>10462</v>
      </c>
      <c r="AP664" t="s">
        <v>10463</v>
      </c>
      <c r="AQ664" t="s">
        <v>74</v>
      </c>
      <c r="AR664" t="s">
        <v>10464</v>
      </c>
      <c r="AS664" t="s">
        <v>10465</v>
      </c>
      <c r="AT664" t="s">
        <v>10218</v>
      </c>
      <c r="AU664">
        <v>2006</v>
      </c>
      <c r="AV664">
        <v>81</v>
      </c>
      <c r="AW664">
        <v>4</v>
      </c>
      <c r="AX664" t="s">
        <v>74</v>
      </c>
      <c r="AY664" t="s">
        <v>74</v>
      </c>
      <c r="AZ664" t="s">
        <v>74</v>
      </c>
      <c r="BA664" t="s">
        <v>74</v>
      </c>
      <c r="BB664">
        <v>581</v>
      </c>
      <c r="BC664">
        <v>608</v>
      </c>
      <c r="BD664" t="s">
        <v>74</v>
      </c>
      <c r="BE664" t="s">
        <v>10466</v>
      </c>
      <c r="BF664" t="str">
        <f>HYPERLINK("http://dx.doi.org/10.1017/S1464793106007123","http://dx.doi.org/10.1017/S1464793106007123")</f>
        <v>http://dx.doi.org/10.1017/S1464793106007123</v>
      </c>
      <c r="BG664" t="s">
        <v>74</v>
      </c>
      <c r="BH664" t="s">
        <v>74</v>
      </c>
      <c r="BI664">
        <v>28</v>
      </c>
      <c r="BJ664" t="s">
        <v>5103</v>
      </c>
      <c r="BK664" t="s">
        <v>97</v>
      </c>
      <c r="BL664" t="s">
        <v>5104</v>
      </c>
      <c r="BM664" t="s">
        <v>10467</v>
      </c>
      <c r="BN664">
        <v>16987430</v>
      </c>
      <c r="BO664" t="s">
        <v>3355</v>
      </c>
      <c r="BP664" t="s">
        <v>74</v>
      </c>
      <c r="BQ664" t="s">
        <v>74</v>
      </c>
      <c r="BR664" t="s">
        <v>100</v>
      </c>
      <c r="BS664" t="s">
        <v>10468</v>
      </c>
      <c r="BT664" t="str">
        <f>HYPERLINK("https%3A%2F%2Fwww.webofscience.com%2Fwos%2Fwoscc%2Ffull-record%2FWOS:000242358400006","View Full Record in Web of Science")</f>
        <v>View Full Record in Web of Science</v>
      </c>
    </row>
    <row r="665" spans="1:72" x14ac:dyDescent="0.15">
      <c r="A665" t="s">
        <v>72</v>
      </c>
      <c r="B665" t="s">
        <v>10469</v>
      </c>
      <c r="C665" t="s">
        <v>74</v>
      </c>
      <c r="D665" t="s">
        <v>74</v>
      </c>
      <c r="E665" t="s">
        <v>74</v>
      </c>
      <c r="F665" t="s">
        <v>10470</v>
      </c>
      <c r="G665" t="s">
        <v>74</v>
      </c>
      <c r="H665" t="s">
        <v>74</v>
      </c>
      <c r="I665" t="s">
        <v>10471</v>
      </c>
      <c r="J665" t="s">
        <v>10472</v>
      </c>
      <c r="K665" t="s">
        <v>74</v>
      </c>
      <c r="L665" t="s">
        <v>74</v>
      </c>
      <c r="M665" t="s">
        <v>78</v>
      </c>
      <c r="N665" t="s">
        <v>79</v>
      </c>
      <c r="O665" t="s">
        <v>74</v>
      </c>
      <c r="P665" t="s">
        <v>74</v>
      </c>
      <c r="Q665" t="s">
        <v>74</v>
      </c>
      <c r="R665" t="s">
        <v>74</v>
      </c>
      <c r="S665" t="s">
        <v>74</v>
      </c>
      <c r="T665" t="s">
        <v>74</v>
      </c>
      <c r="U665" t="s">
        <v>10473</v>
      </c>
      <c r="V665" t="s">
        <v>74</v>
      </c>
      <c r="W665" t="s">
        <v>10474</v>
      </c>
      <c r="X665" t="s">
        <v>10475</v>
      </c>
      <c r="Y665" t="s">
        <v>10476</v>
      </c>
      <c r="Z665" t="s">
        <v>74</v>
      </c>
      <c r="AA665" t="s">
        <v>10477</v>
      </c>
      <c r="AB665" t="s">
        <v>10478</v>
      </c>
      <c r="AC665" t="s">
        <v>74</v>
      </c>
      <c r="AD665" t="s">
        <v>74</v>
      </c>
      <c r="AE665" t="s">
        <v>74</v>
      </c>
      <c r="AF665" t="s">
        <v>74</v>
      </c>
      <c r="AG665">
        <v>21</v>
      </c>
      <c r="AH665">
        <v>3</v>
      </c>
      <c r="AI665">
        <v>4</v>
      </c>
      <c r="AJ665">
        <v>0</v>
      </c>
      <c r="AK665">
        <v>7</v>
      </c>
      <c r="AL665" t="s">
        <v>613</v>
      </c>
      <c r="AM665" t="s">
        <v>678</v>
      </c>
      <c r="AN665" t="s">
        <v>4336</v>
      </c>
      <c r="AO665" t="s">
        <v>10479</v>
      </c>
      <c r="AP665" t="s">
        <v>74</v>
      </c>
      <c r="AQ665" t="s">
        <v>74</v>
      </c>
      <c r="AR665" t="s">
        <v>10480</v>
      </c>
      <c r="AS665" t="s">
        <v>10481</v>
      </c>
      <c r="AT665" t="s">
        <v>10218</v>
      </c>
      <c r="AU665">
        <v>2006</v>
      </c>
      <c r="AV665">
        <v>77</v>
      </c>
      <c r="AW665">
        <v>5</v>
      </c>
      <c r="AX665" t="s">
        <v>74</v>
      </c>
      <c r="AY665" t="s">
        <v>74</v>
      </c>
      <c r="AZ665" t="s">
        <v>74</v>
      </c>
      <c r="BA665" t="s">
        <v>74</v>
      </c>
      <c r="BB665">
        <v>651</v>
      </c>
      <c r="BC665">
        <v>657</v>
      </c>
      <c r="BD665" t="s">
        <v>74</v>
      </c>
      <c r="BE665" t="s">
        <v>10482</v>
      </c>
      <c r="BF665" t="str">
        <f>HYPERLINK("http://dx.doi.org/10.1007/s00128-006-1112-x","http://dx.doi.org/10.1007/s00128-006-1112-x")</f>
        <v>http://dx.doi.org/10.1007/s00128-006-1112-x</v>
      </c>
      <c r="BG665" t="s">
        <v>74</v>
      </c>
      <c r="BH665" t="s">
        <v>74</v>
      </c>
      <c r="BI665">
        <v>7</v>
      </c>
      <c r="BJ665" t="s">
        <v>10483</v>
      </c>
      <c r="BK665" t="s">
        <v>97</v>
      </c>
      <c r="BL665" t="s">
        <v>10484</v>
      </c>
      <c r="BM665" t="s">
        <v>10485</v>
      </c>
      <c r="BN665">
        <v>17176990</v>
      </c>
      <c r="BO665" t="s">
        <v>74</v>
      </c>
      <c r="BP665" t="s">
        <v>74</v>
      </c>
      <c r="BQ665" t="s">
        <v>74</v>
      </c>
      <c r="BR665" t="s">
        <v>100</v>
      </c>
      <c r="BS665" t="s">
        <v>10486</v>
      </c>
      <c r="BT665" t="str">
        <f>HYPERLINK("https%3A%2F%2Fwww.webofscience.com%2Fwos%2Fwoscc%2Ffull-record%2FWOS:000242805100004","View Full Record in Web of Science")</f>
        <v>View Full Record in Web of Science</v>
      </c>
    </row>
    <row r="666" spans="1:72" x14ac:dyDescent="0.15">
      <c r="A666" t="s">
        <v>72</v>
      </c>
      <c r="B666" t="s">
        <v>10487</v>
      </c>
      <c r="C666" t="s">
        <v>74</v>
      </c>
      <c r="D666" t="s">
        <v>74</v>
      </c>
      <c r="E666" t="s">
        <v>74</v>
      </c>
      <c r="F666" t="s">
        <v>10488</v>
      </c>
      <c r="G666" t="s">
        <v>74</v>
      </c>
      <c r="H666" t="s">
        <v>74</v>
      </c>
      <c r="I666" t="s">
        <v>10489</v>
      </c>
      <c r="J666" t="s">
        <v>871</v>
      </c>
      <c r="K666" t="s">
        <v>74</v>
      </c>
      <c r="L666" t="s">
        <v>74</v>
      </c>
      <c r="M666" t="s">
        <v>78</v>
      </c>
      <c r="N666" t="s">
        <v>79</v>
      </c>
      <c r="O666" t="s">
        <v>74</v>
      </c>
      <c r="P666" t="s">
        <v>74</v>
      </c>
      <c r="Q666" t="s">
        <v>74</v>
      </c>
      <c r="R666" t="s">
        <v>74</v>
      </c>
      <c r="S666" t="s">
        <v>74</v>
      </c>
      <c r="T666" t="s">
        <v>10490</v>
      </c>
      <c r="U666" t="s">
        <v>10491</v>
      </c>
      <c r="V666" t="s">
        <v>10492</v>
      </c>
      <c r="W666" t="s">
        <v>10493</v>
      </c>
      <c r="X666" t="s">
        <v>10494</v>
      </c>
      <c r="Y666" t="s">
        <v>10495</v>
      </c>
      <c r="Z666" t="s">
        <v>10496</v>
      </c>
      <c r="AA666" t="s">
        <v>10497</v>
      </c>
      <c r="AB666" t="s">
        <v>10498</v>
      </c>
      <c r="AC666" t="s">
        <v>74</v>
      </c>
      <c r="AD666" t="s">
        <v>74</v>
      </c>
      <c r="AE666" t="s">
        <v>74</v>
      </c>
      <c r="AF666" t="s">
        <v>74</v>
      </c>
      <c r="AG666">
        <v>30</v>
      </c>
      <c r="AH666">
        <v>16</v>
      </c>
      <c r="AI666">
        <v>20</v>
      </c>
      <c r="AJ666">
        <v>1</v>
      </c>
      <c r="AK666">
        <v>15</v>
      </c>
      <c r="AL666" t="s">
        <v>859</v>
      </c>
      <c r="AM666" t="s">
        <v>860</v>
      </c>
      <c r="AN666" t="s">
        <v>861</v>
      </c>
      <c r="AO666" t="s">
        <v>879</v>
      </c>
      <c r="AP666" t="s">
        <v>880</v>
      </c>
      <c r="AQ666" t="s">
        <v>74</v>
      </c>
      <c r="AR666" t="s">
        <v>881</v>
      </c>
      <c r="AS666" t="s">
        <v>882</v>
      </c>
      <c r="AT666" t="s">
        <v>10218</v>
      </c>
      <c r="AU666">
        <v>2006</v>
      </c>
      <c r="AV666">
        <v>51</v>
      </c>
      <c r="AW666">
        <v>22</v>
      </c>
      <c r="AX666" t="s">
        <v>74</v>
      </c>
      <c r="AY666" t="s">
        <v>74</v>
      </c>
      <c r="AZ666" t="s">
        <v>74</v>
      </c>
      <c r="BA666" t="s">
        <v>74</v>
      </c>
      <c r="BB666">
        <v>2771</v>
      </c>
      <c r="BC666">
        <v>2780</v>
      </c>
      <c r="BD666" t="s">
        <v>74</v>
      </c>
      <c r="BE666" t="s">
        <v>10499</v>
      </c>
      <c r="BF666" t="str">
        <f>HYPERLINK("http://dx.doi.org/10.1007/s11434-006-2164-3","http://dx.doi.org/10.1007/s11434-006-2164-3")</f>
        <v>http://dx.doi.org/10.1007/s11434-006-2164-3</v>
      </c>
      <c r="BG666" t="s">
        <v>74</v>
      </c>
      <c r="BH666" t="s">
        <v>74</v>
      </c>
      <c r="BI666">
        <v>10</v>
      </c>
      <c r="BJ666" t="s">
        <v>884</v>
      </c>
      <c r="BK666" t="s">
        <v>97</v>
      </c>
      <c r="BL666" t="s">
        <v>885</v>
      </c>
      <c r="BM666" t="s">
        <v>10500</v>
      </c>
      <c r="BN666" t="s">
        <v>74</v>
      </c>
      <c r="BO666" t="s">
        <v>74</v>
      </c>
      <c r="BP666" t="s">
        <v>74</v>
      </c>
      <c r="BQ666" t="s">
        <v>74</v>
      </c>
      <c r="BR666" t="s">
        <v>100</v>
      </c>
      <c r="BS666" t="s">
        <v>10501</v>
      </c>
      <c r="BT666" t="str">
        <f>HYPERLINK("https%3A%2F%2Fwww.webofscience.com%2Fwos%2Fwoscc%2Ffull-record%2FWOS:000242609200015","View Full Record in Web of Science")</f>
        <v>View Full Record in Web of Science</v>
      </c>
    </row>
    <row r="667" spans="1:72" x14ac:dyDescent="0.15">
      <c r="A667" t="s">
        <v>72</v>
      </c>
      <c r="B667" t="s">
        <v>10502</v>
      </c>
      <c r="C667" t="s">
        <v>74</v>
      </c>
      <c r="D667" t="s">
        <v>74</v>
      </c>
      <c r="E667" t="s">
        <v>74</v>
      </c>
      <c r="F667" t="s">
        <v>10503</v>
      </c>
      <c r="G667" t="s">
        <v>74</v>
      </c>
      <c r="H667" t="s">
        <v>74</v>
      </c>
      <c r="I667" t="s">
        <v>10504</v>
      </c>
      <c r="J667" t="s">
        <v>8397</v>
      </c>
      <c r="K667" t="s">
        <v>74</v>
      </c>
      <c r="L667" t="s">
        <v>74</v>
      </c>
      <c r="M667" t="s">
        <v>78</v>
      </c>
      <c r="N667" t="s">
        <v>79</v>
      </c>
      <c r="O667" t="s">
        <v>74</v>
      </c>
      <c r="P667" t="s">
        <v>74</v>
      </c>
      <c r="Q667" t="s">
        <v>74</v>
      </c>
      <c r="R667" t="s">
        <v>74</v>
      </c>
      <c r="S667" t="s">
        <v>74</v>
      </c>
      <c r="T667" t="s">
        <v>74</v>
      </c>
      <c r="U667" t="s">
        <v>10505</v>
      </c>
      <c r="V667" t="s">
        <v>10506</v>
      </c>
      <c r="W667" t="s">
        <v>10507</v>
      </c>
      <c r="X667" t="s">
        <v>10508</v>
      </c>
      <c r="Y667" t="s">
        <v>10509</v>
      </c>
      <c r="Z667" t="s">
        <v>10510</v>
      </c>
      <c r="AA667" t="s">
        <v>74</v>
      </c>
      <c r="AB667" t="s">
        <v>10511</v>
      </c>
      <c r="AC667" t="s">
        <v>74</v>
      </c>
      <c r="AD667" t="s">
        <v>74</v>
      </c>
      <c r="AE667" t="s">
        <v>74</v>
      </c>
      <c r="AF667" t="s">
        <v>74</v>
      </c>
      <c r="AG667">
        <v>33</v>
      </c>
      <c r="AH667">
        <v>33</v>
      </c>
      <c r="AI667">
        <v>35</v>
      </c>
      <c r="AJ667">
        <v>1</v>
      </c>
      <c r="AK667">
        <v>9</v>
      </c>
      <c r="AL667" t="s">
        <v>613</v>
      </c>
      <c r="AM667" t="s">
        <v>678</v>
      </c>
      <c r="AN667" t="s">
        <v>679</v>
      </c>
      <c r="AO667" t="s">
        <v>8406</v>
      </c>
      <c r="AP667" t="s">
        <v>8407</v>
      </c>
      <c r="AQ667" t="s">
        <v>74</v>
      </c>
      <c r="AR667" t="s">
        <v>8408</v>
      </c>
      <c r="AS667" t="s">
        <v>8409</v>
      </c>
      <c r="AT667" t="s">
        <v>10218</v>
      </c>
      <c r="AU667">
        <v>2006</v>
      </c>
      <c r="AV667">
        <v>27</v>
      </c>
      <c r="AW667">
        <v>6</v>
      </c>
      <c r="AX667" t="s">
        <v>74</v>
      </c>
      <c r="AY667" t="s">
        <v>74</v>
      </c>
      <c r="AZ667" t="s">
        <v>74</v>
      </c>
      <c r="BA667" t="s">
        <v>74</v>
      </c>
      <c r="BB667">
        <v>647</v>
      </c>
      <c r="BC667">
        <v>660</v>
      </c>
      <c r="BD667" t="s">
        <v>74</v>
      </c>
      <c r="BE667" t="s">
        <v>10512</v>
      </c>
      <c r="BF667" t="str">
        <f>HYPERLINK("http://dx.doi.org/10.1007/s00382-006-0156-2","http://dx.doi.org/10.1007/s00382-006-0156-2")</f>
        <v>http://dx.doi.org/10.1007/s00382-006-0156-2</v>
      </c>
      <c r="BG667" t="s">
        <v>74</v>
      </c>
      <c r="BH667" t="s">
        <v>74</v>
      </c>
      <c r="BI667">
        <v>14</v>
      </c>
      <c r="BJ667" t="s">
        <v>3208</v>
      </c>
      <c r="BK667" t="s">
        <v>97</v>
      </c>
      <c r="BL667" t="s">
        <v>3208</v>
      </c>
      <c r="BM667" t="s">
        <v>10513</v>
      </c>
      <c r="BN667" t="s">
        <v>74</v>
      </c>
      <c r="BO667" t="s">
        <v>74</v>
      </c>
      <c r="BP667" t="s">
        <v>74</v>
      </c>
      <c r="BQ667" t="s">
        <v>74</v>
      </c>
      <c r="BR667" t="s">
        <v>100</v>
      </c>
      <c r="BS667" t="s">
        <v>10514</v>
      </c>
      <c r="BT667" t="str">
        <f>HYPERLINK("https%3A%2F%2Fwww.webofscience.com%2Fwos%2Fwoscc%2Ffull-record%2FWOS:000240613700006","View Full Record in Web of Science")</f>
        <v>View Full Record in Web of Science</v>
      </c>
    </row>
    <row r="668" spans="1:72" x14ac:dyDescent="0.15">
      <c r="A668" t="s">
        <v>72</v>
      </c>
      <c r="B668" t="s">
        <v>10515</v>
      </c>
      <c r="C668" t="s">
        <v>74</v>
      </c>
      <c r="D668" t="s">
        <v>74</v>
      </c>
      <c r="E668" t="s">
        <v>74</v>
      </c>
      <c r="F668" t="s">
        <v>10516</v>
      </c>
      <c r="G668" t="s">
        <v>74</v>
      </c>
      <c r="H668" t="s">
        <v>74</v>
      </c>
      <c r="I668" t="s">
        <v>10517</v>
      </c>
      <c r="J668" t="s">
        <v>8417</v>
      </c>
      <c r="K668" t="s">
        <v>74</v>
      </c>
      <c r="L668" t="s">
        <v>74</v>
      </c>
      <c r="M668" t="s">
        <v>78</v>
      </c>
      <c r="N668" t="s">
        <v>79</v>
      </c>
      <c r="O668" t="s">
        <v>74</v>
      </c>
      <c r="P668" t="s">
        <v>74</v>
      </c>
      <c r="Q668" t="s">
        <v>74</v>
      </c>
      <c r="R668" t="s">
        <v>74</v>
      </c>
      <c r="S668" t="s">
        <v>74</v>
      </c>
      <c r="T668" t="s">
        <v>10518</v>
      </c>
      <c r="U668" t="s">
        <v>10519</v>
      </c>
      <c r="V668" t="s">
        <v>10520</v>
      </c>
      <c r="W668" t="s">
        <v>10521</v>
      </c>
      <c r="X668" t="s">
        <v>1829</v>
      </c>
      <c r="Y668" t="s">
        <v>10522</v>
      </c>
      <c r="Z668" t="s">
        <v>10523</v>
      </c>
      <c r="AA668" t="s">
        <v>10524</v>
      </c>
      <c r="AB668" t="s">
        <v>10525</v>
      </c>
      <c r="AC668" t="s">
        <v>74</v>
      </c>
      <c r="AD668" t="s">
        <v>74</v>
      </c>
      <c r="AE668" t="s">
        <v>74</v>
      </c>
      <c r="AF668" t="s">
        <v>74</v>
      </c>
      <c r="AG668">
        <v>33</v>
      </c>
      <c r="AH668">
        <v>25</v>
      </c>
      <c r="AI668">
        <v>27</v>
      </c>
      <c r="AJ668">
        <v>1</v>
      </c>
      <c r="AK668">
        <v>21</v>
      </c>
      <c r="AL668" t="s">
        <v>838</v>
      </c>
      <c r="AM668" t="s">
        <v>678</v>
      </c>
      <c r="AN668" t="s">
        <v>8331</v>
      </c>
      <c r="AO668" t="s">
        <v>8426</v>
      </c>
      <c r="AP668" t="s">
        <v>10526</v>
      </c>
      <c r="AQ668" t="s">
        <v>74</v>
      </c>
      <c r="AR668" t="s">
        <v>8427</v>
      </c>
      <c r="AS668" t="s">
        <v>8428</v>
      </c>
      <c r="AT668" t="s">
        <v>10218</v>
      </c>
      <c r="AU668">
        <v>2006</v>
      </c>
      <c r="AV668">
        <v>145</v>
      </c>
      <c r="AW668">
        <v>3</v>
      </c>
      <c r="AX668" t="s">
        <v>74</v>
      </c>
      <c r="AY668" t="s">
        <v>74</v>
      </c>
      <c r="AZ668" t="s">
        <v>74</v>
      </c>
      <c r="BA668" t="s">
        <v>74</v>
      </c>
      <c r="BB668">
        <v>406</v>
      </c>
      <c r="BC668">
        <v>411</v>
      </c>
      <c r="BD668" t="s">
        <v>74</v>
      </c>
      <c r="BE668" t="s">
        <v>10527</v>
      </c>
      <c r="BF668" t="str">
        <f>HYPERLINK("http://dx.doi.org/10.1016/j.cbpa.2006.07.019","http://dx.doi.org/10.1016/j.cbpa.2006.07.019")</f>
        <v>http://dx.doi.org/10.1016/j.cbpa.2006.07.019</v>
      </c>
      <c r="BG668" t="s">
        <v>74</v>
      </c>
      <c r="BH668" t="s">
        <v>74</v>
      </c>
      <c r="BI668">
        <v>6</v>
      </c>
      <c r="BJ668" t="s">
        <v>8430</v>
      </c>
      <c r="BK668" t="s">
        <v>97</v>
      </c>
      <c r="BL668" t="s">
        <v>8430</v>
      </c>
      <c r="BM668" t="s">
        <v>10528</v>
      </c>
      <c r="BN668">
        <v>16978893</v>
      </c>
      <c r="BO668" t="s">
        <v>1314</v>
      </c>
      <c r="BP668" t="s">
        <v>74</v>
      </c>
      <c r="BQ668" t="s">
        <v>74</v>
      </c>
      <c r="BR668" t="s">
        <v>100</v>
      </c>
      <c r="BS668" t="s">
        <v>10529</v>
      </c>
      <c r="BT668" t="str">
        <f>HYPERLINK("https%3A%2F%2Fwww.webofscience.com%2Fwos%2Fwoscc%2Ffull-record%2FWOS:000241712800016","View Full Record in Web of Science")</f>
        <v>View Full Record in Web of Science</v>
      </c>
    </row>
    <row r="669" spans="1:72" x14ac:dyDescent="0.15">
      <c r="A669" t="s">
        <v>72</v>
      </c>
      <c r="B669" t="s">
        <v>10530</v>
      </c>
      <c r="C669" t="s">
        <v>74</v>
      </c>
      <c r="D669" t="s">
        <v>74</v>
      </c>
      <c r="E669" t="s">
        <v>74</v>
      </c>
      <c r="F669" t="s">
        <v>10531</v>
      </c>
      <c r="G669" t="s">
        <v>74</v>
      </c>
      <c r="H669" t="s">
        <v>74</v>
      </c>
      <c r="I669" t="s">
        <v>10532</v>
      </c>
      <c r="J669" t="s">
        <v>1188</v>
      </c>
      <c r="K669" t="s">
        <v>74</v>
      </c>
      <c r="L669" t="s">
        <v>74</v>
      </c>
      <c r="M669" t="s">
        <v>78</v>
      </c>
      <c r="N669" t="s">
        <v>79</v>
      </c>
      <c r="O669" t="s">
        <v>74</v>
      </c>
      <c r="P669" t="s">
        <v>74</v>
      </c>
      <c r="Q669" t="s">
        <v>74</v>
      </c>
      <c r="R669" t="s">
        <v>74</v>
      </c>
      <c r="S669" t="s">
        <v>74</v>
      </c>
      <c r="T669" t="s">
        <v>10533</v>
      </c>
      <c r="U669" t="s">
        <v>10534</v>
      </c>
      <c r="V669" t="s">
        <v>10535</v>
      </c>
      <c r="W669" t="s">
        <v>10536</v>
      </c>
      <c r="X669" t="s">
        <v>10537</v>
      </c>
      <c r="Y669" t="s">
        <v>10538</v>
      </c>
      <c r="Z669" t="s">
        <v>10539</v>
      </c>
      <c r="AA669" t="s">
        <v>74</v>
      </c>
      <c r="AB669" t="s">
        <v>74</v>
      </c>
      <c r="AC669" t="s">
        <v>74</v>
      </c>
      <c r="AD669" t="s">
        <v>74</v>
      </c>
      <c r="AE669" t="s">
        <v>74</v>
      </c>
      <c r="AF669" t="s">
        <v>74</v>
      </c>
      <c r="AG669">
        <v>17</v>
      </c>
      <c r="AH669">
        <v>4</v>
      </c>
      <c r="AI669">
        <v>4</v>
      </c>
      <c r="AJ669">
        <v>0</v>
      </c>
      <c r="AK669">
        <v>2</v>
      </c>
      <c r="AL669" t="s">
        <v>1196</v>
      </c>
      <c r="AM669" t="s">
        <v>1197</v>
      </c>
      <c r="AN669" t="s">
        <v>1198</v>
      </c>
      <c r="AO669" t="s">
        <v>1199</v>
      </c>
      <c r="AP669" t="s">
        <v>1200</v>
      </c>
      <c r="AQ669" t="s">
        <v>74</v>
      </c>
      <c r="AR669" t="s">
        <v>1188</v>
      </c>
      <c r="AS669" t="s">
        <v>1201</v>
      </c>
      <c r="AT669" t="s">
        <v>10540</v>
      </c>
      <c r="AU669">
        <v>2006</v>
      </c>
      <c r="AV669">
        <v>27</v>
      </c>
      <c r="AW669">
        <v>6</v>
      </c>
      <c r="AX669" t="s">
        <v>74</v>
      </c>
      <c r="AY669" t="s">
        <v>74</v>
      </c>
      <c r="AZ669" t="s">
        <v>74</v>
      </c>
      <c r="BA669" t="s">
        <v>74</v>
      </c>
      <c r="BB669">
        <v>333</v>
      </c>
      <c r="BC669">
        <v>340</v>
      </c>
      <c r="BD669" t="s">
        <v>74</v>
      </c>
      <c r="BE669" t="s">
        <v>74</v>
      </c>
      <c r="BF669" t="s">
        <v>74</v>
      </c>
      <c r="BG669" t="s">
        <v>74</v>
      </c>
      <c r="BH669" t="s">
        <v>74</v>
      </c>
      <c r="BI669">
        <v>8</v>
      </c>
      <c r="BJ669" t="s">
        <v>1202</v>
      </c>
      <c r="BK669" t="s">
        <v>97</v>
      </c>
      <c r="BL669" t="s">
        <v>1203</v>
      </c>
      <c r="BM669" t="s">
        <v>10541</v>
      </c>
      <c r="BN669">
        <v>17256067</v>
      </c>
      <c r="BO669" t="s">
        <v>74</v>
      </c>
      <c r="BP669" t="s">
        <v>74</v>
      </c>
      <c r="BQ669" t="s">
        <v>74</v>
      </c>
      <c r="BR669" t="s">
        <v>100</v>
      </c>
      <c r="BS669" t="s">
        <v>10542</v>
      </c>
      <c r="BT669" t="str">
        <f>HYPERLINK("https%3A%2F%2Fwww.webofscience.com%2Fwos%2Fwoscc%2Ffull-record%2FWOS:000243961300001","View Full Record in Web of Science")</f>
        <v>View Full Record in Web of Science</v>
      </c>
    </row>
    <row r="670" spans="1:72" x14ac:dyDescent="0.15">
      <c r="A670" t="s">
        <v>72</v>
      </c>
      <c r="B670" t="s">
        <v>10543</v>
      </c>
      <c r="C670" t="s">
        <v>74</v>
      </c>
      <c r="D670" t="s">
        <v>74</v>
      </c>
      <c r="E670" t="s">
        <v>74</v>
      </c>
      <c r="F670" t="s">
        <v>10544</v>
      </c>
      <c r="G670" t="s">
        <v>74</v>
      </c>
      <c r="H670" t="s">
        <v>74</v>
      </c>
      <c r="I670" t="s">
        <v>10545</v>
      </c>
      <c r="J670" t="s">
        <v>1188</v>
      </c>
      <c r="K670" t="s">
        <v>74</v>
      </c>
      <c r="L670" t="s">
        <v>74</v>
      </c>
      <c r="M670" t="s">
        <v>78</v>
      </c>
      <c r="N670" t="s">
        <v>79</v>
      </c>
      <c r="O670" t="s">
        <v>74</v>
      </c>
      <c r="P670" t="s">
        <v>74</v>
      </c>
      <c r="Q670" t="s">
        <v>74</v>
      </c>
      <c r="R670" t="s">
        <v>74</v>
      </c>
      <c r="S670" t="s">
        <v>74</v>
      </c>
      <c r="T670" t="s">
        <v>10546</v>
      </c>
      <c r="U670" t="s">
        <v>10547</v>
      </c>
      <c r="V670" t="s">
        <v>10548</v>
      </c>
      <c r="W670" t="s">
        <v>10549</v>
      </c>
      <c r="X670" t="s">
        <v>10550</v>
      </c>
      <c r="Y670" t="s">
        <v>10551</v>
      </c>
      <c r="Z670" t="s">
        <v>10552</v>
      </c>
      <c r="AA670" t="s">
        <v>74</v>
      </c>
      <c r="AB670" t="s">
        <v>10553</v>
      </c>
      <c r="AC670" t="s">
        <v>74</v>
      </c>
      <c r="AD670" t="s">
        <v>74</v>
      </c>
      <c r="AE670" t="s">
        <v>74</v>
      </c>
      <c r="AF670" t="s">
        <v>74</v>
      </c>
      <c r="AG670">
        <v>43</v>
      </c>
      <c r="AH670">
        <v>5</v>
      </c>
      <c r="AI670">
        <v>6</v>
      </c>
      <c r="AJ670">
        <v>0</v>
      </c>
      <c r="AK670">
        <v>6</v>
      </c>
      <c r="AL670" t="s">
        <v>1196</v>
      </c>
      <c r="AM670" t="s">
        <v>1197</v>
      </c>
      <c r="AN670" t="s">
        <v>1198</v>
      </c>
      <c r="AO670" t="s">
        <v>1199</v>
      </c>
      <c r="AP670" t="s">
        <v>1200</v>
      </c>
      <c r="AQ670" t="s">
        <v>74</v>
      </c>
      <c r="AR670" t="s">
        <v>1188</v>
      </c>
      <c r="AS670" t="s">
        <v>1201</v>
      </c>
      <c r="AT670" t="s">
        <v>10540</v>
      </c>
      <c r="AU670">
        <v>2006</v>
      </c>
      <c r="AV670">
        <v>27</v>
      </c>
      <c r="AW670">
        <v>6</v>
      </c>
      <c r="AX670" t="s">
        <v>74</v>
      </c>
      <c r="AY670" t="s">
        <v>74</v>
      </c>
      <c r="AZ670" t="s">
        <v>74</v>
      </c>
      <c r="BA670" t="s">
        <v>74</v>
      </c>
      <c r="BB670">
        <v>387</v>
      </c>
      <c r="BC670">
        <v>399</v>
      </c>
      <c r="BD670" t="s">
        <v>74</v>
      </c>
      <c r="BE670" t="s">
        <v>74</v>
      </c>
      <c r="BF670" t="s">
        <v>74</v>
      </c>
      <c r="BG670" t="s">
        <v>74</v>
      </c>
      <c r="BH670" t="s">
        <v>74</v>
      </c>
      <c r="BI670">
        <v>13</v>
      </c>
      <c r="BJ670" t="s">
        <v>1202</v>
      </c>
      <c r="BK670" t="s">
        <v>97</v>
      </c>
      <c r="BL670" t="s">
        <v>1203</v>
      </c>
      <c r="BM670" t="s">
        <v>10541</v>
      </c>
      <c r="BN670">
        <v>17256073</v>
      </c>
      <c r="BO670" t="s">
        <v>74</v>
      </c>
      <c r="BP670" t="s">
        <v>74</v>
      </c>
      <c r="BQ670" t="s">
        <v>74</v>
      </c>
      <c r="BR670" t="s">
        <v>100</v>
      </c>
      <c r="BS670" t="s">
        <v>10554</v>
      </c>
      <c r="BT670" t="str">
        <f>HYPERLINK("https%3A%2F%2Fwww.webofscience.com%2Fwos%2Fwoscc%2Ffull-record%2FWOS:000243961300007","View Full Record in Web of Science")</f>
        <v>View Full Record in Web of Science</v>
      </c>
    </row>
    <row r="671" spans="1:72" x14ac:dyDescent="0.15">
      <c r="A671" t="s">
        <v>72</v>
      </c>
      <c r="B671" t="s">
        <v>10555</v>
      </c>
      <c r="C671" t="s">
        <v>74</v>
      </c>
      <c r="D671" t="s">
        <v>74</v>
      </c>
      <c r="E671" t="s">
        <v>74</v>
      </c>
      <c r="F671" t="s">
        <v>10556</v>
      </c>
      <c r="G671" t="s">
        <v>74</v>
      </c>
      <c r="H671" t="s">
        <v>74</v>
      </c>
      <c r="I671" t="s">
        <v>10557</v>
      </c>
      <c r="J671" t="s">
        <v>1243</v>
      </c>
      <c r="K671" t="s">
        <v>74</v>
      </c>
      <c r="L671" t="s">
        <v>74</v>
      </c>
      <c r="M671" t="s">
        <v>78</v>
      </c>
      <c r="N671" t="s">
        <v>79</v>
      </c>
      <c r="O671" t="s">
        <v>74</v>
      </c>
      <c r="P671" t="s">
        <v>74</v>
      </c>
      <c r="Q671" t="s">
        <v>74</v>
      </c>
      <c r="R671" t="s">
        <v>74</v>
      </c>
      <c r="S671" t="s">
        <v>74</v>
      </c>
      <c r="T671" t="s">
        <v>10558</v>
      </c>
      <c r="U671" t="s">
        <v>10559</v>
      </c>
      <c r="V671" t="s">
        <v>10560</v>
      </c>
      <c r="W671" t="s">
        <v>10561</v>
      </c>
      <c r="X671" t="s">
        <v>5463</v>
      </c>
      <c r="Y671" t="s">
        <v>10562</v>
      </c>
      <c r="Z671" t="s">
        <v>10563</v>
      </c>
      <c r="AA671" t="s">
        <v>10564</v>
      </c>
      <c r="AB671" t="s">
        <v>10565</v>
      </c>
      <c r="AC671" t="s">
        <v>74</v>
      </c>
      <c r="AD671" t="s">
        <v>74</v>
      </c>
      <c r="AE671" t="s">
        <v>74</v>
      </c>
      <c r="AF671" t="s">
        <v>74</v>
      </c>
      <c r="AG671">
        <v>32</v>
      </c>
      <c r="AH671">
        <v>29</v>
      </c>
      <c r="AI671">
        <v>32</v>
      </c>
      <c r="AJ671">
        <v>0</v>
      </c>
      <c r="AK671">
        <v>16</v>
      </c>
      <c r="AL671" t="s">
        <v>817</v>
      </c>
      <c r="AM671" t="s">
        <v>818</v>
      </c>
      <c r="AN671" t="s">
        <v>819</v>
      </c>
      <c r="AO671" t="s">
        <v>1255</v>
      </c>
      <c r="AP671" t="s">
        <v>1256</v>
      </c>
      <c r="AQ671" t="s">
        <v>74</v>
      </c>
      <c r="AR671" t="s">
        <v>1257</v>
      </c>
      <c r="AS671" t="s">
        <v>1258</v>
      </c>
      <c r="AT671" t="s">
        <v>10218</v>
      </c>
      <c r="AU671">
        <v>2006</v>
      </c>
      <c r="AV671">
        <v>53</v>
      </c>
      <c r="AW671">
        <v>11</v>
      </c>
      <c r="AX671" t="s">
        <v>74</v>
      </c>
      <c r="AY671" t="s">
        <v>74</v>
      </c>
      <c r="AZ671" t="s">
        <v>74</v>
      </c>
      <c r="BA671" t="s">
        <v>74</v>
      </c>
      <c r="BB671">
        <v>1791</v>
      </c>
      <c r="BC671">
        <v>1809</v>
      </c>
      <c r="BD671" t="s">
        <v>74</v>
      </c>
      <c r="BE671" t="s">
        <v>10566</v>
      </c>
      <c r="BF671" t="str">
        <f>HYPERLINK("http://dx.doi.org/10.1016/j.dsr.2006.08.002","http://dx.doi.org/10.1016/j.dsr.2006.08.002")</f>
        <v>http://dx.doi.org/10.1016/j.dsr.2006.08.002</v>
      </c>
      <c r="BG671" t="s">
        <v>74</v>
      </c>
      <c r="BH671" t="s">
        <v>74</v>
      </c>
      <c r="BI671">
        <v>19</v>
      </c>
      <c r="BJ671" t="s">
        <v>1260</v>
      </c>
      <c r="BK671" t="s">
        <v>97</v>
      </c>
      <c r="BL671" t="s">
        <v>1260</v>
      </c>
      <c r="BM671" t="s">
        <v>10567</v>
      </c>
      <c r="BN671" t="s">
        <v>74</v>
      </c>
      <c r="BO671" t="s">
        <v>1384</v>
      </c>
      <c r="BP671" t="s">
        <v>74</v>
      </c>
      <c r="BQ671" t="s">
        <v>74</v>
      </c>
      <c r="BR671" t="s">
        <v>100</v>
      </c>
      <c r="BS671" t="s">
        <v>10568</v>
      </c>
      <c r="BT671" t="str">
        <f>HYPERLINK("https%3A%2F%2Fwww.webofscience.com%2Fwos%2Fwoscc%2Ffull-record%2FWOS:000242929600005","View Full Record in Web of Science")</f>
        <v>View Full Record in Web of Science</v>
      </c>
    </row>
    <row r="672" spans="1:72" x14ac:dyDescent="0.15">
      <c r="A672" t="s">
        <v>72</v>
      </c>
      <c r="B672" t="s">
        <v>10569</v>
      </c>
      <c r="C672" t="s">
        <v>74</v>
      </c>
      <c r="D672" t="s">
        <v>74</v>
      </c>
      <c r="E672" t="s">
        <v>74</v>
      </c>
      <c r="F672" t="s">
        <v>10570</v>
      </c>
      <c r="G672" t="s">
        <v>74</v>
      </c>
      <c r="H672" t="s">
        <v>74</v>
      </c>
      <c r="I672" t="s">
        <v>10571</v>
      </c>
      <c r="J672" t="s">
        <v>10572</v>
      </c>
      <c r="K672" t="s">
        <v>74</v>
      </c>
      <c r="L672" t="s">
        <v>74</v>
      </c>
      <c r="M672" t="s">
        <v>78</v>
      </c>
      <c r="N672" t="s">
        <v>79</v>
      </c>
      <c r="O672" t="s">
        <v>74</v>
      </c>
      <c r="P672" t="s">
        <v>74</v>
      </c>
      <c r="Q672" t="s">
        <v>74</v>
      </c>
      <c r="R672" t="s">
        <v>74</v>
      </c>
      <c r="S672" t="s">
        <v>74</v>
      </c>
      <c r="T672" t="s">
        <v>74</v>
      </c>
      <c r="U672" t="s">
        <v>74</v>
      </c>
      <c r="V672" t="s">
        <v>10573</v>
      </c>
      <c r="W672" t="s">
        <v>10574</v>
      </c>
      <c r="X672" t="s">
        <v>10575</v>
      </c>
      <c r="Y672" t="s">
        <v>10576</v>
      </c>
      <c r="Z672" t="s">
        <v>10577</v>
      </c>
      <c r="AA672" t="s">
        <v>74</v>
      </c>
      <c r="AB672" t="s">
        <v>74</v>
      </c>
      <c r="AC672" t="s">
        <v>74</v>
      </c>
      <c r="AD672" t="s">
        <v>74</v>
      </c>
      <c r="AE672" t="s">
        <v>74</v>
      </c>
      <c r="AF672" t="s">
        <v>74</v>
      </c>
      <c r="AG672">
        <v>14</v>
      </c>
      <c r="AH672">
        <v>20</v>
      </c>
      <c r="AI672">
        <v>23</v>
      </c>
      <c r="AJ672">
        <v>0</v>
      </c>
      <c r="AK672">
        <v>7</v>
      </c>
      <c r="AL672" t="s">
        <v>2428</v>
      </c>
      <c r="AM672" t="s">
        <v>2429</v>
      </c>
      <c r="AN672" t="s">
        <v>2430</v>
      </c>
      <c r="AO672" t="s">
        <v>10578</v>
      </c>
      <c r="AP672" t="s">
        <v>10579</v>
      </c>
      <c r="AQ672" t="s">
        <v>74</v>
      </c>
      <c r="AR672" t="s">
        <v>10580</v>
      </c>
      <c r="AS672" t="s">
        <v>10581</v>
      </c>
      <c r="AT672" t="s">
        <v>10218</v>
      </c>
      <c r="AU672">
        <v>2006</v>
      </c>
      <c r="AV672">
        <v>21</v>
      </c>
      <c r="AW672">
        <v>2</v>
      </c>
      <c r="AX672" t="s">
        <v>74</v>
      </c>
      <c r="AY672" t="s">
        <v>74</v>
      </c>
      <c r="AZ672" t="s">
        <v>74</v>
      </c>
      <c r="BA672" t="s">
        <v>74</v>
      </c>
      <c r="BB672">
        <v>427</v>
      </c>
      <c r="BC672">
        <v>439</v>
      </c>
      <c r="BD672" t="s">
        <v>74</v>
      </c>
      <c r="BE672" t="s">
        <v>74</v>
      </c>
      <c r="BF672" t="s">
        <v>74</v>
      </c>
      <c r="BG672" t="s">
        <v>74</v>
      </c>
      <c r="BH672" t="s">
        <v>74</v>
      </c>
      <c r="BI672">
        <v>13</v>
      </c>
      <c r="BJ672" t="s">
        <v>122</v>
      </c>
      <c r="BK672" t="s">
        <v>97</v>
      </c>
      <c r="BL672" t="s">
        <v>122</v>
      </c>
      <c r="BM672" t="s">
        <v>10582</v>
      </c>
      <c r="BN672" t="s">
        <v>74</v>
      </c>
      <c r="BO672" t="s">
        <v>74</v>
      </c>
      <c r="BP672" t="s">
        <v>74</v>
      </c>
      <c r="BQ672" t="s">
        <v>74</v>
      </c>
      <c r="BR672" t="s">
        <v>100</v>
      </c>
      <c r="BS672" t="s">
        <v>10583</v>
      </c>
      <c r="BT672" t="str">
        <f>HYPERLINK("https%3A%2F%2Fwww.webofscience.com%2Fwos%2Fwoscc%2Ffull-record%2FWOS:000241822400014","View Full Record in Web of Science")</f>
        <v>View Full Record in Web of Science</v>
      </c>
    </row>
    <row r="673" spans="1:72" x14ac:dyDescent="0.15">
      <c r="A673" t="s">
        <v>72</v>
      </c>
      <c r="B673" t="s">
        <v>10584</v>
      </c>
      <c r="C673" t="s">
        <v>74</v>
      </c>
      <c r="D673" t="s">
        <v>74</v>
      </c>
      <c r="E673" t="s">
        <v>74</v>
      </c>
      <c r="F673" t="s">
        <v>10585</v>
      </c>
      <c r="G673" t="s">
        <v>74</v>
      </c>
      <c r="H673" t="s">
        <v>74</v>
      </c>
      <c r="I673" t="s">
        <v>10586</v>
      </c>
      <c r="J673" t="s">
        <v>10572</v>
      </c>
      <c r="K673" t="s">
        <v>74</v>
      </c>
      <c r="L673" t="s">
        <v>74</v>
      </c>
      <c r="M673" t="s">
        <v>78</v>
      </c>
      <c r="N673" t="s">
        <v>79</v>
      </c>
      <c r="O673" t="s">
        <v>74</v>
      </c>
      <c r="P673" t="s">
        <v>74</v>
      </c>
      <c r="Q673" t="s">
        <v>74</v>
      </c>
      <c r="R673" t="s">
        <v>74</v>
      </c>
      <c r="S673" t="s">
        <v>74</v>
      </c>
      <c r="T673" t="s">
        <v>74</v>
      </c>
      <c r="U673" t="s">
        <v>74</v>
      </c>
      <c r="V673" t="s">
        <v>10587</v>
      </c>
      <c r="W673" t="s">
        <v>10588</v>
      </c>
      <c r="X673" t="s">
        <v>10575</v>
      </c>
      <c r="Y673" t="s">
        <v>10589</v>
      </c>
      <c r="Z673" t="s">
        <v>10577</v>
      </c>
      <c r="AA673" t="s">
        <v>74</v>
      </c>
      <c r="AB673" t="s">
        <v>74</v>
      </c>
      <c r="AC673" t="s">
        <v>74</v>
      </c>
      <c r="AD673" t="s">
        <v>74</v>
      </c>
      <c r="AE673" t="s">
        <v>74</v>
      </c>
      <c r="AF673" t="s">
        <v>74</v>
      </c>
      <c r="AG673">
        <v>21</v>
      </c>
      <c r="AH673">
        <v>7</v>
      </c>
      <c r="AI673">
        <v>8</v>
      </c>
      <c r="AJ673">
        <v>0</v>
      </c>
      <c r="AK673">
        <v>2</v>
      </c>
      <c r="AL673" t="s">
        <v>2428</v>
      </c>
      <c r="AM673" t="s">
        <v>2429</v>
      </c>
      <c r="AN673" t="s">
        <v>2430</v>
      </c>
      <c r="AO673" t="s">
        <v>10578</v>
      </c>
      <c r="AP673" t="s">
        <v>10579</v>
      </c>
      <c r="AQ673" t="s">
        <v>74</v>
      </c>
      <c r="AR673" t="s">
        <v>10580</v>
      </c>
      <c r="AS673" t="s">
        <v>10581</v>
      </c>
      <c r="AT673" t="s">
        <v>10218</v>
      </c>
      <c r="AU673">
        <v>2006</v>
      </c>
      <c r="AV673">
        <v>21</v>
      </c>
      <c r="AW673">
        <v>2</v>
      </c>
      <c r="AX673" t="s">
        <v>74</v>
      </c>
      <c r="AY673" t="s">
        <v>74</v>
      </c>
      <c r="AZ673" t="s">
        <v>74</v>
      </c>
      <c r="BA673" t="s">
        <v>74</v>
      </c>
      <c r="BB673">
        <v>441</v>
      </c>
      <c r="BC673">
        <v>449</v>
      </c>
      <c r="BD673" t="s">
        <v>74</v>
      </c>
      <c r="BE673" t="s">
        <v>74</v>
      </c>
      <c r="BF673" t="s">
        <v>74</v>
      </c>
      <c r="BG673" t="s">
        <v>74</v>
      </c>
      <c r="BH673" t="s">
        <v>74</v>
      </c>
      <c r="BI673">
        <v>9</v>
      </c>
      <c r="BJ673" t="s">
        <v>122</v>
      </c>
      <c r="BK673" t="s">
        <v>97</v>
      </c>
      <c r="BL673" t="s">
        <v>122</v>
      </c>
      <c r="BM673" t="s">
        <v>10582</v>
      </c>
      <c r="BN673" t="s">
        <v>74</v>
      </c>
      <c r="BO673" t="s">
        <v>74</v>
      </c>
      <c r="BP673" t="s">
        <v>74</v>
      </c>
      <c r="BQ673" t="s">
        <v>74</v>
      </c>
      <c r="BR673" t="s">
        <v>100</v>
      </c>
      <c r="BS673" t="s">
        <v>10590</v>
      </c>
      <c r="BT673" t="str">
        <f>HYPERLINK("https%3A%2F%2Fwww.webofscience.com%2Fwos%2Fwoscc%2Ffull-record%2FWOS:000241822400015","View Full Record in Web of Science")</f>
        <v>View Full Record in Web of Science</v>
      </c>
    </row>
    <row r="674" spans="1:72" x14ac:dyDescent="0.15">
      <c r="A674" t="s">
        <v>72</v>
      </c>
      <c r="B674" t="s">
        <v>10591</v>
      </c>
      <c r="C674" t="s">
        <v>74</v>
      </c>
      <c r="D674" t="s">
        <v>74</v>
      </c>
      <c r="E674" t="s">
        <v>74</v>
      </c>
      <c r="F674" t="s">
        <v>10592</v>
      </c>
      <c r="G674" t="s">
        <v>74</v>
      </c>
      <c r="H674" t="s">
        <v>74</v>
      </c>
      <c r="I674" t="s">
        <v>10593</v>
      </c>
      <c r="J674" t="s">
        <v>10594</v>
      </c>
      <c r="K674" t="s">
        <v>74</v>
      </c>
      <c r="L674" t="s">
        <v>74</v>
      </c>
      <c r="M674" t="s">
        <v>78</v>
      </c>
      <c r="N674" t="s">
        <v>79</v>
      </c>
      <c r="O674" t="s">
        <v>74</v>
      </c>
      <c r="P674" t="s">
        <v>74</v>
      </c>
      <c r="Q674" t="s">
        <v>74</v>
      </c>
      <c r="R674" t="s">
        <v>74</v>
      </c>
      <c r="S674" t="s">
        <v>74</v>
      </c>
      <c r="T674" t="s">
        <v>74</v>
      </c>
      <c r="U674" t="s">
        <v>10595</v>
      </c>
      <c r="V674" t="s">
        <v>74</v>
      </c>
      <c r="W674" t="s">
        <v>10596</v>
      </c>
      <c r="X674" t="s">
        <v>10597</v>
      </c>
      <c r="Y674" t="s">
        <v>10598</v>
      </c>
      <c r="Z674" t="s">
        <v>10599</v>
      </c>
      <c r="AA674" t="s">
        <v>74</v>
      </c>
      <c r="AB674" t="s">
        <v>74</v>
      </c>
      <c r="AC674" t="s">
        <v>74</v>
      </c>
      <c r="AD674" t="s">
        <v>74</v>
      </c>
      <c r="AE674" t="s">
        <v>74</v>
      </c>
      <c r="AF674" t="s">
        <v>74</v>
      </c>
      <c r="AG674">
        <v>14</v>
      </c>
      <c r="AH674">
        <v>1</v>
      </c>
      <c r="AI674">
        <v>1</v>
      </c>
      <c r="AJ674">
        <v>0</v>
      </c>
      <c r="AK674">
        <v>1</v>
      </c>
      <c r="AL674" t="s">
        <v>6640</v>
      </c>
      <c r="AM674" t="s">
        <v>678</v>
      </c>
      <c r="AN674" t="s">
        <v>6641</v>
      </c>
      <c r="AO674" t="s">
        <v>10600</v>
      </c>
      <c r="AP674" t="s">
        <v>74</v>
      </c>
      <c r="AQ674" t="s">
        <v>74</v>
      </c>
      <c r="AR674" t="s">
        <v>10601</v>
      </c>
      <c r="AS674" t="s">
        <v>10602</v>
      </c>
      <c r="AT674" t="s">
        <v>10218</v>
      </c>
      <c r="AU674">
        <v>2006</v>
      </c>
      <c r="AV674">
        <v>411</v>
      </c>
      <c r="AW674">
        <v>8</v>
      </c>
      <c r="AX674" t="s">
        <v>74</v>
      </c>
      <c r="AY674" t="s">
        <v>74</v>
      </c>
      <c r="AZ674" t="s">
        <v>74</v>
      </c>
      <c r="BA674" t="s">
        <v>74</v>
      </c>
      <c r="BB674">
        <v>1249</v>
      </c>
      <c r="BC674">
        <v>1252</v>
      </c>
      <c r="BD674" t="s">
        <v>74</v>
      </c>
      <c r="BE674" t="s">
        <v>10603</v>
      </c>
      <c r="BF674" t="str">
        <f>HYPERLINK("http://dx.doi.org/10.1134/S1028334X06080204","http://dx.doi.org/10.1134/S1028334X06080204")</f>
        <v>http://dx.doi.org/10.1134/S1028334X06080204</v>
      </c>
      <c r="BG674" t="s">
        <v>74</v>
      </c>
      <c r="BH674" t="s">
        <v>74</v>
      </c>
      <c r="BI674">
        <v>4</v>
      </c>
      <c r="BJ674" t="s">
        <v>685</v>
      </c>
      <c r="BK674" t="s">
        <v>97</v>
      </c>
      <c r="BL674" t="s">
        <v>642</v>
      </c>
      <c r="BM674" t="s">
        <v>10604</v>
      </c>
      <c r="BN674" t="s">
        <v>74</v>
      </c>
      <c r="BO674" t="s">
        <v>74</v>
      </c>
      <c r="BP674" t="s">
        <v>74</v>
      </c>
      <c r="BQ674" t="s">
        <v>74</v>
      </c>
      <c r="BR674" t="s">
        <v>100</v>
      </c>
      <c r="BS674" t="s">
        <v>10605</v>
      </c>
      <c r="BT674" t="str">
        <f>HYPERLINK("https%3A%2F%2Fwww.webofscience.com%2Fwos%2Fwoscc%2Ffull-record%2FWOS:000245569800020","View Full Record in Web of Science")</f>
        <v>View Full Record in Web of Science</v>
      </c>
    </row>
    <row r="675" spans="1:72" x14ac:dyDescent="0.15">
      <c r="A675" t="s">
        <v>72</v>
      </c>
      <c r="B675" t="s">
        <v>10606</v>
      </c>
      <c r="C675" t="s">
        <v>74</v>
      </c>
      <c r="D675" t="s">
        <v>74</v>
      </c>
      <c r="E675" t="s">
        <v>74</v>
      </c>
      <c r="F675" t="s">
        <v>10607</v>
      </c>
      <c r="G675" t="s">
        <v>74</v>
      </c>
      <c r="H675" t="s">
        <v>74</v>
      </c>
      <c r="I675" t="s">
        <v>10608</v>
      </c>
      <c r="J675" t="s">
        <v>10609</v>
      </c>
      <c r="K675" t="s">
        <v>74</v>
      </c>
      <c r="L675" t="s">
        <v>74</v>
      </c>
      <c r="M675" t="s">
        <v>78</v>
      </c>
      <c r="N675" t="s">
        <v>79</v>
      </c>
      <c r="O675" t="s">
        <v>74</v>
      </c>
      <c r="P675" t="s">
        <v>74</v>
      </c>
      <c r="Q675" t="s">
        <v>74</v>
      </c>
      <c r="R675" t="s">
        <v>74</v>
      </c>
      <c r="S675" t="s">
        <v>74</v>
      </c>
      <c r="T675" t="s">
        <v>10610</v>
      </c>
      <c r="U675" t="s">
        <v>10611</v>
      </c>
      <c r="V675" t="s">
        <v>10612</v>
      </c>
      <c r="W675" t="s">
        <v>10613</v>
      </c>
      <c r="X675" t="s">
        <v>10614</v>
      </c>
      <c r="Y675" t="s">
        <v>10615</v>
      </c>
      <c r="Z675" t="s">
        <v>10616</v>
      </c>
      <c r="AA675" t="s">
        <v>10617</v>
      </c>
      <c r="AB675" t="s">
        <v>10618</v>
      </c>
      <c r="AC675" t="s">
        <v>74</v>
      </c>
      <c r="AD675" t="s">
        <v>74</v>
      </c>
      <c r="AE675" t="s">
        <v>74</v>
      </c>
      <c r="AF675" t="s">
        <v>74</v>
      </c>
      <c r="AG675">
        <v>55</v>
      </c>
      <c r="AH675">
        <v>25</v>
      </c>
      <c r="AI675">
        <v>25</v>
      </c>
      <c r="AJ675">
        <v>0</v>
      </c>
      <c r="AK675">
        <v>13</v>
      </c>
      <c r="AL675" t="s">
        <v>613</v>
      </c>
      <c r="AM675" t="s">
        <v>678</v>
      </c>
      <c r="AN675" t="s">
        <v>679</v>
      </c>
      <c r="AO675" t="s">
        <v>10619</v>
      </c>
      <c r="AP675" t="s">
        <v>10620</v>
      </c>
      <c r="AQ675" t="s">
        <v>74</v>
      </c>
      <c r="AR675" t="s">
        <v>10609</v>
      </c>
      <c r="AS675" t="s">
        <v>10621</v>
      </c>
      <c r="AT675" t="s">
        <v>10218</v>
      </c>
      <c r="AU675">
        <v>2006</v>
      </c>
      <c r="AV675">
        <v>9</v>
      </c>
      <c r="AW675">
        <v>7</v>
      </c>
      <c r="AX675" t="s">
        <v>74</v>
      </c>
      <c r="AY675" t="s">
        <v>74</v>
      </c>
      <c r="AZ675" t="s">
        <v>74</v>
      </c>
      <c r="BA675" t="s">
        <v>74</v>
      </c>
      <c r="BB675">
        <v>1145</v>
      </c>
      <c r="BC675">
        <v>1155</v>
      </c>
      <c r="BD675" t="s">
        <v>74</v>
      </c>
      <c r="BE675" t="s">
        <v>10622</v>
      </c>
      <c r="BF675" t="str">
        <f>HYPERLINK("http://dx.doi.org/10.1007/s10021-006-0054-9","http://dx.doi.org/10.1007/s10021-006-0054-9")</f>
        <v>http://dx.doi.org/10.1007/s10021-006-0054-9</v>
      </c>
      <c r="BG675" t="s">
        <v>74</v>
      </c>
      <c r="BH675" t="s">
        <v>74</v>
      </c>
      <c r="BI675">
        <v>11</v>
      </c>
      <c r="BJ675" t="s">
        <v>5787</v>
      </c>
      <c r="BK675" t="s">
        <v>97</v>
      </c>
      <c r="BL675" t="s">
        <v>226</v>
      </c>
      <c r="BM675" t="s">
        <v>10623</v>
      </c>
      <c r="BN675" t="s">
        <v>74</v>
      </c>
      <c r="BO675" t="s">
        <v>74</v>
      </c>
      <c r="BP675" t="s">
        <v>74</v>
      </c>
      <c r="BQ675" t="s">
        <v>74</v>
      </c>
      <c r="BR675" t="s">
        <v>100</v>
      </c>
      <c r="BS675" t="s">
        <v>10624</v>
      </c>
      <c r="BT675" t="str">
        <f>HYPERLINK("https%3A%2F%2Fwww.webofscience.com%2Fwos%2Fwoscc%2Ffull-record%2FWOS:000242334600009","View Full Record in Web of Science")</f>
        <v>View Full Record in Web of Science</v>
      </c>
    </row>
    <row r="676" spans="1:72" x14ac:dyDescent="0.15">
      <c r="A676" t="s">
        <v>72</v>
      </c>
      <c r="B676" t="s">
        <v>10625</v>
      </c>
      <c r="C676" t="s">
        <v>74</v>
      </c>
      <c r="D676" t="s">
        <v>74</v>
      </c>
      <c r="E676" t="s">
        <v>74</v>
      </c>
      <c r="F676" t="s">
        <v>10626</v>
      </c>
      <c r="G676" t="s">
        <v>74</v>
      </c>
      <c r="H676" t="s">
        <v>74</v>
      </c>
      <c r="I676" t="s">
        <v>10627</v>
      </c>
      <c r="J676" t="s">
        <v>10628</v>
      </c>
      <c r="K676" t="s">
        <v>74</v>
      </c>
      <c r="L676" t="s">
        <v>74</v>
      </c>
      <c r="M676" t="s">
        <v>78</v>
      </c>
      <c r="N676" t="s">
        <v>79</v>
      </c>
      <c r="O676" t="s">
        <v>74</v>
      </c>
      <c r="P676" t="s">
        <v>74</v>
      </c>
      <c r="Q676" t="s">
        <v>74</v>
      </c>
      <c r="R676" t="s">
        <v>74</v>
      </c>
      <c r="S676" t="s">
        <v>74</v>
      </c>
      <c r="T676" t="s">
        <v>10629</v>
      </c>
      <c r="U676" t="s">
        <v>10630</v>
      </c>
      <c r="V676" t="s">
        <v>10631</v>
      </c>
      <c r="W676" t="s">
        <v>10632</v>
      </c>
      <c r="X676" t="s">
        <v>10633</v>
      </c>
      <c r="Y676" t="s">
        <v>10634</v>
      </c>
      <c r="Z676" t="s">
        <v>10635</v>
      </c>
      <c r="AA676" t="s">
        <v>10636</v>
      </c>
      <c r="AB676" t="s">
        <v>10637</v>
      </c>
      <c r="AC676" t="s">
        <v>74</v>
      </c>
      <c r="AD676" t="s">
        <v>74</v>
      </c>
      <c r="AE676" t="s">
        <v>74</v>
      </c>
      <c r="AF676" t="s">
        <v>74</v>
      </c>
      <c r="AG676">
        <v>41</v>
      </c>
      <c r="AH676">
        <v>34</v>
      </c>
      <c r="AI676">
        <v>41</v>
      </c>
      <c r="AJ676">
        <v>4</v>
      </c>
      <c r="AK676">
        <v>17</v>
      </c>
      <c r="AL676" t="s">
        <v>10638</v>
      </c>
      <c r="AM676" t="s">
        <v>6911</v>
      </c>
      <c r="AN676" t="s">
        <v>10639</v>
      </c>
      <c r="AO676" t="s">
        <v>10640</v>
      </c>
      <c r="AP676" t="s">
        <v>74</v>
      </c>
      <c r="AQ676" t="s">
        <v>74</v>
      </c>
      <c r="AR676" t="s">
        <v>10641</v>
      </c>
      <c r="AS676" t="s">
        <v>10642</v>
      </c>
      <c r="AT676" t="s">
        <v>10218</v>
      </c>
      <c r="AU676">
        <v>2006</v>
      </c>
      <c r="AV676">
        <v>102</v>
      </c>
      <c r="AW676">
        <v>3</v>
      </c>
      <c r="AX676" t="s">
        <v>74</v>
      </c>
      <c r="AY676" t="s">
        <v>74</v>
      </c>
      <c r="AZ676" t="s">
        <v>74</v>
      </c>
      <c r="BA676" t="s">
        <v>74</v>
      </c>
      <c r="BB676">
        <v>252</v>
      </c>
      <c r="BC676">
        <v>259</v>
      </c>
      <c r="BD676" t="s">
        <v>74</v>
      </c>
      <c r="BE676" t="s">
        <v>10643</v>
      </c>
      <c r="BF676" t="str">
        <f>HYPERLINK("http://dx.doi.org/10.1016/j.envres.2006.04.003","http://dx.doi.org/10.1016/j.envres.2006.04.003")</f>
        <v>http://dx.doi.org/10.1016/j.envres.2006.04.003</v>
      </c>
      <c r="BG676" t="s">
        <v>74</v>
      </c>
      <c r="BH676" t="s">
        <v>74</v>
      </c>
      <c r="BI676">
        <v>8</v>
      </c>
      <c r="BJ676" t="s">
        <v>10644</v>
      </c>
      <c r="BK676" t="s">
        <v>97</v>
      </c>
      <c r="BL676" t="s">
        <v>10645</v>
      </c>
      <c r="BM676" t="s">
        <v>10646</v>
      </c>
      <c r="BN676">
        <v>16780831</v>
      </c>
      <c r="BO676" t="s">
        <v>74</v>
      </c>
      <c r="BP676" t="s">
        <v>74</v>
      </c>
      <c r="BQ676" t="s">
        <v>74</v>
      </c>
      <c r="BR676" t="s">
        <v>100</v>
      </c>
      <c r="BS676" t="s">
        <v>10647</v>
      </c>
      <c r="BT676" t="str">
        <f>HYPERLINK("https%3A%2F%2Fwww.webofscience.com%2Fwos%2Fwoscc%2Ffull-record%2FWOS:000242228300001","View Full Record in Web of Science")</f>
        <v>View Full Record in Web of Science</v>
      </c>
    </row>
    <row r="677" spans="1:72" x14ac:dyDescent="0.15">
      <c r="A677" t="s">
        <v>72</v>
      </c>
      <c r="B677" t="s">
        <v>10648</v>
      </c>
      <c r="C677" t="s">
        <v>74</v>
      </c>
      <c r="D677" t="s">
        <v>74</v>
      </c>
      <c r="E677" t="s">
        <v>74</v>
      </c>
      <c r="F677" t="s">
        <v>10649</v>
      </c>
      <c r="G677" t="s">
        <v>74</v>
      </c>
      <c r="H677" t="s">
        <v>74</v>
      </c>
      <c r="I677" t="s">
        <v>10650</v>
      </c>
      <c r="J677" t="s">
        <v>10651</v>
      </c>
      <c r="K677" t="s">
        <v>74</v>
      </c>
      <c r="L677" t="s">
        <v>74</v>
      </c>
      <c r="M677" t="s">
        <v>78</v>
      </c>
      <c r="N677" t="s">
        <v>79</v>
      </c>
      <c r="O677" t="s">
        <v>74</v>
      </c>
      <c r="P677" t="s">
        <v>74</v>
      </c>
      <c r="Q677" t="s">
        <v>74</v>
      </c>
      <c r="R677" t="s">
        <v>74</v>
      </c>
      <c r="S677" t="s">
        <v>74</v>
      </c>
      <c r="T677" t="s">
        <v>10652</v>
      </c>
      <c r="U677" t="s">
        <v>10653</v>
      </c>
      <c r="V677" t="s">
        <v>10654</v>
      </c>
      <c r="W677" t="s">
        <v>10655</v>
      </c>
      <c r="X677" t="s">
        <v>10656</v>
      </c>
      <c r="Y677" t="s">
        <v>10657</v>
      </c>
      <c r="Z677" t="s">
        <v>10658</v>
      </c>
      <c r="AA677" t="s">
        <v>74</v>
      </c>
      <c r="AB677" t="s">
        <v>10659</v>
      </c>
      <c r="AC677" t="s">
        <v>74</v>
      </c>
      <c r="AD677" t="s">
        <v>74</v>
      </c>
      <c r="AE677" t="s">
        <v>74</v>
      </c>
      <c r="AF677" t="s">
        <v>74</v>
      </c>
      <c r="AG677">
        <v>45</v>
      </c>
      <c r="AH677">
        <v>5</v>
      </c>
      <c r="AI677">
        <v>8</v>
      </c>
      <c r="AJ677">
        <v>1</v>
      </c>
      <c r="AK677">
        <v>10</v>
      </c>
      <c r="AL677" t="s">
        <v>3322</v>
      </c>
      <c r="AM677" t="s">
        <v>1197</v>
      </c>
      <c r="AN677" t="s">
        <v>3323</v>
      </c>
      <c r="AO677" t="s">
        <v>10660</v>
      </c>
      <c r="AP677" t="s">
        <v>10661</v>
      </c>
      <c r="AQ677" t="s">
        <v>74</v>
      </c>
      <c r="AR677" t="s">
        <v>10662</v>
      </c>
      <c r="AS677" t="s">
        <v>10663</v>
      </c>
      <c r="AT677" t="s">
        <v>10218</v>
      </c>
      <c r="AU677">
        <v>2006</v>
      </c>
      <c r="AV677">
        <v>70</v>
      </c>
      <c r="AW677">
        <v>3</v>
      </c>
      <c r="AX677" t="s">
        <v>74</v>
      </c>
      <c r="AY677" t="s">
        <v>74</v>
      </c>
      <c r="AZ677" t="s">
        <v>74</v>
      </c>
      <c r="BA677" t="s">
        <v>74</v>
      </c>
      <c r="BB677">
        <v>405</v>
      </c>
      <c r="BC677">
        <v>414</v>
      </c>
      <c r="BD677" t="s">
        <v>74</v>
      </c>
      <c r="BE677" t="s">
        <v>10664</v>
      </c>
      <c r="BF677" t="str">
        <f>HYPERLINK("http://dx.doi.org/10.1016/j.ecss.2006.06.024","http://dx.doi.org/10.1016/j.ecss.2006.06.024")</f>
        <v>http://dx.doi.org/10.1016/j.ecss.2006.06.024</v>
      </c>
      <c r="BG677" t="s">
        <v>74</v>
      </c>
      <c r="BH677" t="s">
        <v>74</v>
      </c>
      <c r="BI677">
        <v>10</v>
      </c>
      <c r="BJ677" t="s">
        <v>4206</v>
      </c>
      <c r="BK677" t="s">
        <v>97</v>
      </c>
      <c r="BL677" t="s">
        <v>4206</v>
      </c>
      <c r="BM677" t="s">
        <v>10665</v>
      </c>
      <c r="BN677" t="s">
        <v>74</v>
      </c>
      <c r="BO677" t="s">
        <v>74</v>
      </c>
      <c r="BP677" t="s">
        <v>74</v>
      </c>
      <c r="BQ677" t="s">
        <v>74</v>
      </c>
      <c r="BR677" t="s">
        <v>100</v>
      </c>
      <c r="BS677" t="s">
        <v>10666</v>
      </c>
      <c r="BT677" t="str">
        <f>HYPERLINK("https%3A%2F%2Fwww.webofscience.com%2Fwos%2Fwoscc%2Ffull-record%2FWOS:000241923700006","View Full Record in Web of Science")</f>
        <v>View Full Record in Web of Science</v>
      </c>
    </row>
    <row r="678" spans="1:72" x14ac:dyDescent="0.15">
      <c r="A678" t="s">
        <v>72</v>
      </c>
      <c r="B678" t="s">
        <v>10667</v>
      </c>
      <c r="C678" t="s">
        <v>74</v>
      </c>
      <c r="D678" t="s">
        <v>74</v>
      </c>
      <c r="E678" t="s">
        <v>74</v>
      </c>
      <c r="F678" t="s">
        <v>10668</v>
      </c>
      <c r="G678" t="s">
        <v>74</v>
      </c>
      <c r="H678" t="s">
        <v>74</v>
      </c>
      <c r="I678" t="s">
        <v>10669</v>
      </c>
      <c r="J678" t="s">
        <v>10670</v>
      </c>
      <c r="K678" t="s">
        <v>74</v>
      </c>
      <c r="L678" t="s">
        <v>74</v>
      </c>
      <c r="M678" t="s">
        <v>78</v>
      </c>
      <c r="N678" t="s">
        <v>79</v>
      </c>
      <c r="O678" t="s">
        <v>74</v>
      </c>
      <c r="P678" t="s">
        <v>74</v>
      </c>
      <c r="Q678" t="s">
        <v>74</v>
      </c>
      <c r="R678" t="s">
        <v>74</v>
      </c>
      <c r="S678" t="s">
        <v>74</v>
      </c>
      <c r="T678" t="s">
        <v>10671</v>
      </c>
      <c r="U678" t="s">
        <v>10672</v>
      </c>
      <c r="V678" t="s">
        <v>10673</v>
      </c>
      <c r="W678" t="s">
        <v>10674</v>
      </c>
      <c r="X678" t="s">
        <v>10675</v>
      </c>
      <c r="Y678" t="s">
        <v>10676</v>
      </c>
      <c r="Z678" t="s">
        <v>10677</v>
      </c>
      <c r="AA678" t="s">
        <v>10678</v>
      </c>
      <c r="AB678" t="s">
        <v>10679</v>
      </c>
      <c r="AC678" t="s">
        <v>74</v>
      </c>
      <c r="AD678" t="s">
        <v>74</v>
      </c>
      <c r="AE678" t="s">
        <v>74</v>
      </c>
      <c r="AF678" t="s">
        <v>74</v>
      </c>
      <c r="AG678">
        <v>47</v>
      </c>
      <c r="AH678">
        <v>4</v>
      </c>
      <c r="AI678">
        <v>4</v>
      </c>
      <c r="AJ678">
        <v>0</v>
      </c>
      <c r="AK678">
        <v>6</v>
      </c>
      <c r="AL678" t="s">
        <v>351</v>
      </c>
      <c r="AM678" t="s">
        <v>352</v>
      </c>
      <c r="AN678" t="s">
        <v>353</v>
      </c>
      <c r="AO678" t="s">
        <v>10680</v>
      </c>
      <c r="AP678" t="s">
        <v>10681</v>
      </c>
      <c r="AQ678" t="s">
        <v>74</v>
      </c>
      <c r="AR678" t="s">
        <v>10682</v>
      </c>
      <c r="AS678" t="s">
        <v>10683</v>
      </c>
      <c r="AT678" t="s">
        <v>10540</v>
      </c>
      <c r="AU678">
        <v>2006</v>
      </c>
      <c r="AV678">
        <v>18</v>
      </c>
      <c r="AW678">
        <v>6</v>
      </c>
      <c r="AX678" t="s">
        <v>74</v>
      </c>
      <c r="AY678" t="s">
        <v>74</v>
      </c>
      <c r="AZ678" t="s">
        <v>74</v>
      </c>
      <c r="BA678" t="s">
        <v>74</v>
      </c>
      <c r="BB678">
        <v>727</v>
      </c>
      <c r="BC678">
        <v>738</v>
      </c>
      <c r="BD678" t="s">
        <v>74</v>
      </c>
      <c r="BE678" t="s">
        <v>10684</v>
      </c>
      <c r="BF678" t="str">
        <f>HYPERLINK("http://dx.doi.org/10.1127/0935-1221/2006/0018-0727","http://dx.doi.org/10.1127/0935-1221/2006/0018-0727")</f>
        <v>http://dx.doi.org/10.1127/0935-1221/2006/0018-0727</v>
      </c>
      <c r="BG678" t="s">
        <v>74</v>
      </c>
      <c r="BH678" t="s">
        <v>74</v>
      </c>
      <c r="BI678">
        <v>12</v>
      </c>
      <c r="BJ678" t="s">
        <v>10685</v>
      </c>
      <c r="BK678" t="s">
        <v>97</v>
      </c>
      <c r="BL678" t="s">
        <v>10685</v>
      </c>
      <c r="BM678" t="s">
        <v>10686</v>
      </c>
      <c r="BN678" t="s">
        <v>74</v>
      </c>
      <c r="BO678" t="s">
        <v>74</v>
      </c>
      <c r="BP678" t="s">
        <v>74</v>
      </c>
      <c r="BQ678" t="s">
        <v>74</v>
      </c>
      <c r="BR678" t="s">
        <v>100</v>
      </c>
      <c r="BS678" t="s">
        <v>10687</v>
      </c>
      <c r="BT678" t="str">
        <f>HYPERLINK("https%3A%2F%2Fwww.webofscience.com%2Fwos%2Fwoscc%2Ffull-record%2FWOS:000243187900006","View Full Record in Web of Science")</f>
        <v>View Full Record in Web of Science</v>
      </c>
    </row>
    <row r="679" spans="1:72" x14ac:dyDescent="0.15">
      <c r="A679" t="s">
        <v>72</v>
      </c>
      <c r="B679" t="s">
        <v>10688</v>
      </c>
      <c r="C679" t="s">
        <v>74</v>
      </c>
      <c r="D679" t="s">
        <v>74</v>
      </c>
      <c r="E679" t="s">
        <v>74</v>
      </c>
      <c r="F679" t="s">
        <v>10689</v>
      </c>
      <c r="G679" t="s">
        <v>74</v>
      </c>
      <c r="H679" t="s">
        <v>74</v>
      </c>
      <c r="I679" t="s">
        <v>10690</v>
      </c>
      <c r="J679" t="s">
        <v>10691</v>
      </c>
      <c r="K679" t="s">
        <v>74</v>
      </c>
      <c r="L679" t="s">
        <v>74</v>
      </c>
      <c r="M679" t="s">
        <v>78</v>
      </c>
      <c r="N679" t="s">
        <v>176</v>
      </c>
      <c r="O679" t="s">
        <v>10692</v>
      </c>
      <c r="P679" t="s">
        <v>10693</v>
      </c>
      <c r="Q679" t="s">
        <v>10694</v>
      </c>
      <c r="R679" t="s">
        <v>74</v>
      </c>
      <c r="S679" t="s">
        <v>10695</v>
      </c>
      <c r="T679" t="s">
        <v>10696</v>
      </c>
      <c r="U679" t="s">
        <v>10697</v>
      </c>
      <c r="V679" t="s">
        <v>10698</v>
      </c>
      <c r="W679" t="s">
        <v>10699</v>
      </c>
      <c r="X679" t="s">
        <v>10700</v>
      </c>
      <c r="Y679" t="s">
        <v>10701</v>
      </c>
      <c r="Z679" t="s">
        <v>10702</v>
      </c>
      <c r="AA679" t="s">
        <v>74</v>
      </c>
      <c r="AB679" t="s">
        <v>74</v>
      </c>
      <c r="AC679" t="s">
        <v>74</v>
      </c>
      <c r="AD679" t="s">
        <v>74</v>
      </c>
      <c r="AE679" t="s">
        <v>74</v>
      </c>
      <c r="AF679" t="s">
        <v>74</v>
      </c>
      <c r="AG679">
        <v>12</v>
      </c>
      <c r="AH679">
        <v>6</v>
      </c>
      <c r="AI679">
        <v>7</v>
      </c>
      <c r="AJ679">
        <v>1</v>
      </c>
      <c r="AK679">
        <v>17</v>
      </c>
      <c r="AL679" t="s">
        <v>10703</v>
      </c>
      <c r="AM679" t="s">
        <v>1232</v>
      </c>
      <c r="AN679" t="s">
        <v>10704</v>
      </c>
      <c r="AO679" t="s">
        <v>10705</v>
      </c>
      <c r="AP679" t="s">
        <v>74</v>
      </c>
      <c r="AQ679" t="s">
        <v>74</v>
      </c>
      <c r="AR679" t="s">
        <v>10706</v>
      </c>
      <c r="AS679" t="s">
        <v>10707</v>
      </c>
      <c r="AT679" t="s">
        <v>10218</v>
      </c>
      <c r="AU679">
        <v>2006</v>
      </c>
      <c r="AV679">
        <v>42</v>
      </c>
      <c r="AW679" t="s">
        <v>74</v>
      </c>
      <c r="AX679" t="s">
        <v>74</v>
      </c>
      <c r="AY679">
        <v>1</v>
      </c>
      <c r="AZ679" t="s">
        <v>74</v>
      </c>
      <c r="BA679" t="s">
        <v>74</v>
      </c>
      <c r="BB679" t="s">
        <v>10708</v>
      </c>
      <c r="BC679" t="s">
        <v>10709</v>
      </c>
      <c r="BD679" t="s">
        <v>74</v>
      </c>
      <c r="BE679" t="s">
        <v>10710</v>
      </c>
      <c r="BF679" t="str">
        <f>HYPERLINK("http://dx.doi.org/10.1016/j.ejsobi.2006.07.008","http://dx.doi.org/10.1016/j.ejsobi.2006.07.008")</f>
        <v>http://dx.doi.org/10.1016/j.ejsobi.2006.07.008</v>
      </c>
      <c r="BG679" t="s">
        <v>74</v>
      </c>
      <c r="BH679" t="s">
        <v>74</v>
      </c>
      <c r="BI679">
        <v>5</v>
      </c>
      <c r="BJ679" t="s">
        <v>10711</v>
      </c>
      <c r="BK679" t="s">
        <v>1847</v>
      </c>
      <c r="BL679" t="s">
        <v>10712</v>
      </c>
      <c r="BM679" t="s">
        <v>10713</v>
      </c>
      <c r="BN679" t="s">
        <v>74</v>
      </c>
      <c r="BO679" t="s">
        <v>74</v>
      </c>
      <c r="BP679" t="s">
        <v>74</v>
      </c>
      <c r="BQ679" t="s">
        <v>74</v>
      </c>
      <c r="BR679" t="s">
        <v>100</v>
      </c>
      <c r="BS679" t="s">
        <v>10714</v>
      </c>
      <c r="BT679" t="str">
        <f>HYPERLINK("https%3A%2F%2Fwww.webofscience.com%2Fwos%2Fwoscc%2Ffull-record%2FWOS:000243263800047","View Full Record in Web of Science")</f>
        <v>View Full Record in Web of Science</v>
      </c>
    </row>
    <row r="680" spans="1:72" x14ac:dyDescent="0.15">
      <c r="A680" t="s">
        <v>72</v>
      </c>
      <c r="B680" t="s">
        <v>10715</v>
      </c>
      <c r="C680" t="s">
        <v>74</v>
      </c>
      <c r="D680" t="s">
        <v>74</v>
      </c>
      <c r="E680" t="s">
        <v>74</v>
      </c>
      <c r="F680" t="s">
        <v>10716</v>
      </c>
      <c r="G680" t="s">
        <v>74</v>
      </c>
      <c r="H680" t="s">
        <v>74</v>
      </c>
      <c r="I680" t="s">
        <v>10717</v>
      </c>
      <c r="J680" t="s">
        <v>10718</v>
      </c>
      <c r="K680" t="s">
        <v>74</v>
      </c>
      <c r="L680" t="s">
        <v>74</v>
      </c>
      <c r="M680" t="s">
        <v>78</v>
      </c>
      <c r="N680" t="s">
        <v>79</v>
      </c>
      <c r="O680" t="s">
        <v>74</v>
      </c>
      <c r="P680" t="s">
        <v>74</v>
      </c>
      <c r="Q680" t="s">
        <v>74</v>
      </c>
      <c r="R680" t="s">
        <v>74</v>
      </c>
      <c r="S680" t="s">
        <v>74</v>
      </c>
      <c r="T680" t="s">
        <v>74</v>
      </c>
      <c r="U680" t="s">
        <v>10719</v>
      </c>
      <c r="V680" t="s">
        <v>10720</v>
      </c>
      <c r="W680" t="s">
        <v>10721</v>
      </c>
      <c r="X680" t="s">
        <v>10722</v>
      </c>
      <c r="Y680" t="s">
        <v>10723</v>
      </c>
      <c r="Z680" t="s">
        <v>7807</v>
      </c>
      <c r="AA680" t="s">
        <v>74</v>
      </c>
      <c r="AB680" t="s">
        <v>74</v>
      </c>
      <c r="AC680" t="s">
        <v>74</v>
      </c>
      <c r="AD680" t="s">
        <v>74</v>
      </c>
      <c r="AE680" t="s">
        <v>74</v>
      </c>
      <c r="AF680" t="s">
        <v>74</v>
      </c>
      <c r="AG680">
        <v>54</v>
      </c>
      <c r="AH680">
        <v>22</v>
      </c>
      <c r="AI680">
        <v>24</v>
      </c>
      <c r="AJ680">
        <v>0</v>
      </c>
      <c r="AK680">
        <v>9</v>
      </c>
      <c r="AL680" t="s">
        <v>613</v>
      </c>
      <c r="AM680" t="s">
        <v>678</v>
      </c>
      <c r="AN680" t="s">
        <v>4336</v>
      </c>
      <c r="AO680" t="s">
        <v>10724</v>
      </c>
      <c r="AP680" t="s">
        <v>74</v>
      </c>
      <c r="AQ680" t="s">
        <v>74</v>
      </c>
      <c r="AR680" t="s">
        <v>10725</v>
      </c>
      <c r="AS680" t="s">
        <v>10726</v>
      </c>
      <c r="AT680" t="s">
        <v>10218</v>
      </c>
      <c r="AU680">
        <v>2006</v>
      </c>
      <c r="AV680">
        <v>26</v>
      </c>
      <c r="AW680">
        <v>5</v>
      </c>
      <c r="AX680" t="s">
        <v>74</v>
      </c>
      <c r="AY680" t="s">
        <v>74</v>
      </c>
      <c r="AZ680" t="s">
        <v>74</v>
      </c>
      <c r="BA680" t="s">
        <v>74</v>
      </c>
      <c r="BB680">
        <v>265</v>
      </c>
      <c r="BC680">
        <v>273</v>
      </c>
      <c r="BD680" t="s">
        <v>74</v>
      </c>
      <c r="BE680" t="s">
        <v>10727</v>
      </c>
      <c r="BF680" t="str">
        <f>HYPERLINK("http://dx.doi.org/10.1007/s00367-006-0035-1","http://dx.doi.org/10.1007/s00367-006-0035-1")</f>
        <v>http://dx.doi.org/10.1007/s00367-006-0035-1</v>
      </c>
      <c r="BG680" t="s">
        <v>74</v>
      </c>
      <c r="BH680" t="s">
        <v>74</v>
      </c>
      <c r="BI680">
        <v>9</v>
      </c>
      <c r="BJ680" t="s">
        <v>9714</v>
      </c>
      <c r="BK680" t="s">
        <v>97</v>
      </c>
      <c r="BL680" t="s">
        <v>6300</v>
      </c>
      <c r="BM680" t="s">
        <v>10728</v>
      </c>
      <c r="BN680" t="s">
        <v>74</v>
      </c>
      <c r="BO680" t="s">
        <v>74</v>
      </c>
      <c r="BP680" t="s">
        <v>74</v>
      </c>
      <c r="BQ680" t="s">
        <v>74</v>
      </c>
      <c r="BR680" t="s">
        <v>100</v>
      </c>
      <c r="BS680" t="s">
        <v>10729</v>
      </c>
      <c r="BT680" t="str">
        <f>HYPERLINK("https%3A%2F%2Fwww.webofscience.com%2Fwos%2Fwoscc%2Ffull-record%2FWOS:000241258900002","View Full Record in Web of Science")</f>
        <v>View Full Record in Web of Science</v>
      </c>
    </row>
    <row r="681" spans="1:72" x14ac:dyDescent="0.15">
      <c r="A681" t="s">
        <v>72</v>
      </c>
      <c r="B681" t="s">
        <v>10730</v>
      </c>
      <c r="C681" t="s">
        <v>74</v>
      </c>
      <c r="D681" t="s">
        <v>74</v>
      </c>
      <c r="E681" t="s">
        <v>74</v>
      </c>
      <c r="F681" t="s">
        <v>10731</v>
      </c>
      <c r="G681" t="s">
        <v>74</v>
      </c>
      <c r="H681" t="s">
        <v>74</v>
      </c>
      <c r="I681" t="s">
        <v>10732</v>
      </c>
      <c r="J681" t="s">
        <v>2681</v>
      </c>
      <c r="K681" t="s">
        <v>74</v>
      </c>
      <c r="L681" t="s">
        <v>74</v>
      </c>
      <c r="M681" t="s">
        <v>78</v>
      </c>
      <c r="N681" t="s">
        <v>79</v>
      </c>
      <c r="O681" t="s">
        <v>74</v>
      </c>
      <c r="P681" t="s">
        <v>74</v>
      </c>
      <c r="Q681" t="s">
        <v>74</v>
      </c>
      <c r="R681" t="s">
        <v>74</v>
      </c>
      <c r="S681" t="s">
        <v>74</v>
      </c>
      <c r="T681" t="s">
        <v>10733</v>
      </c>
      <c r="U681" t="s">
        <v>10734</v>
      </c>
      <c r="V681" t="s">
        <v>10735</v>
      </c>
      <c r="W681" t="s">
        <v>10736</v>
      </c>
      <c r="X681" t="s">
        <v>10737</v>
      </c>
      <c r="Y681" t="s">
        <v>10738</v>
      </c>
      <c r="Z681" t="s">
        <v>10739</v>
      </c>
      <c r="AA681" t="s">
        <v>10740</v>
      </c>
      <c r="AB681" t="s">
        <v>10741</v>
      </c>
      <c r="AC681" t="s">
        <v>10742</v>
      </c>
      <c r="AD681" t="s">
        <v>1254</v>
      </c>
      <c r="AE681" t="s">
        <v>74</v>
      </c>
      <c r="AF681" t="s">
        <v>74</v>
      </c>
      <c r="AG681">
        <v>51</v>
      </c>
      <c r="AH681">
        <v>27</v>
      </c>
      <c r="AI681">
        <v>29</v>
      </c>
      <c r="AJ681">
        <v>0</v>
      </c>
      <c r="AK681">
        <v>5</v>
      </c>
      <c r="AL681" t="s">
        <v>221</v>
      </c>
      <c r="AM681" t="s">
        <v>678</v>
      </c>
      <c r="AN681" t="s">
        <v>2692</v>
      </c>
      <c r="AO681" t="s">
        <v>2693</v>
      </c>
      <c r="AP681" t="s">
        <v>2694</v>
      </c>
      <c r="AQ681" t="s">
        <v>74</v>
      </c>
      <c r="AR681" t="s">
        <v>2695</v>
      </c>
      <c r="AS681" t="s">
        <v>2696</v>
      </c>
      <c r="AT681" t="s">
        <v>10218</v>
      </c>
      <c r="AU681">
        <v>2006</v>
      </c>
      <c r="AV681">
        <v>143</v>
      </c>
      <c r="AW681">
        <v>6</v>
      </c>
      <c r="AX681" t="s">
        <v>74</v>
      </c>
      <c r="AY681" t="s">
        <v>74</v>
      </c>
      <c r="AZ681" t="s">
        <v>74</v>
      </c>
      <c r="BA681" t="s">
        <v>74</v>
      </c>
      <c r="BB681">
        <v>777</v>
      </c>
      <c r="BC681">
        <v>796</v>
      </c>
      <c r="BD681" t="s">
        <v>74</v>
      </c>
      <c r="BE681" t="s">
        <v>10743</v>
      </c>
      <c r="BF681" t="str">
        <f>HYPERLINK("http://dx.doi.org/10.1017/S0016756806002597","http://dx.doi.org/10.1017/S0016756806002597")</f>
        <v>http://dx.doi.org/10.1017/S0016756806002597</v>
      </c>
      <c r="BG681" t="s">
        <v>74</v>
      </c>
      <c r="BH681" t="s">
        <v>74</v>
      </c>
      <c r="BI681">
        <v>20</v>
      </c>
      <c r="BJ681" t="s">
        <v>685</v>
      </c>
      <c r="BK681" t="s">
        <v>97</v>
      </c>
      <c r="BL681" t="s">
        <v>642</v>
      </c>
      <c r="BM681" t="s">
        <v>10744</v>
      </c>
      <c r="BN681" t="s">
        <v>74</v>
      </c>
      <c r="BO681" t="s">
        <v>74</v>
      </c>
      <c r="BP681" t="s">
        <v>74</v>
      </c>
      <c r="BQ681" t="s">
        <v>74</v>
      </c>
      <c r="BR681" t="s">
        <v>100</v>
      </c>
      <c r="BS681" t="s">
        <v>10745</v>
      </c>
      <c r="BT681" t="str">
        <f>HYPERLINK("https%3A%2F%2Fwww.webofscience.com%2Fwos%2Fwoscc%2Ffull-record%2FWOS:000242741000003","View Full Record in Web of Science")</f>
        <v>View Full Record in Web of Science</v>
      </c>
    </row>
    <row r="682" spans="1:72" x14ac:dyDescent="0.15">
      <c r="A682" t="s">
        <v>72</v>
      </c>
      <c r="B682" t="s">
        <v>10746</v>
      </c>
      <c r="C682" t="s">
        <v>74</v>
      </c>
      <c r="D682" t="s">
        <v>74</v>
      </c>
      <c r="E682" t="s">
        <v>74</v>
      </c>
      <c r="F682" t="s">
        <v>10747</v>
      </c>
      <c r="G682" t="s">
        <v>74</v>
      </c>
      <c r="H682" t="s">
        <v>74</v>
      </c>
      <c r="I682" t="s">
        <v>10748</v>
      </c>
      <c r="J682" t="s">
        <v>2681</v>
      </c>
      <c r="K682" t="s">
        <v>74</v>
      </c>
      <c r="L682" t="s">
        <v>74</v>
      </c>
      <c r="M682" t="s">
        <v>78</v>
      </c>
      <c r="N682" t="s">
        <v>79</v>
      </c>
      <c r="O682" t="s">
        <v>74</v>
      </c>
      <c r="P682" t="s">
        <v>74</v>
      </c>
      <c r="Q682" t="s">
        <v>74</v>
      </c>
      <c r="R682" t="s">
        <v>74</v>
      </c>
      <c r="S682" t="s">
        <v>74</v>
      </c>
      <c r="T682" t="s">
        <v>10749</v>
      </c>
      <c r="U682" t="s">
        <v>10750</v>
      </c>
      <c r="V682" t="s">
        <v>10751</v>
      </c>
      <c r="W682" t="s">
        <v>10752</v>
      </c>
      <c r="X682" t="s">
        <v>10753</v>
      </c>
      <c r="Y682" t="s">
        <v>10754</v>
      </c>
      <c r="Z682" t="s">
        <v>10755</v>
      </c>
      <c r="AA682" t="s">
        <v>10756</v>
      </c>
      <c r="AB682" t="s">
        <v>10757</v>
      </c>
      <c r="AC682" t="s">
        <v>10742</v>
      </c>
      <c r="AD682" t="s">
        <v>1254</v>
      </c>
      <c r="AE682" t="s">
        <v>74</v>
      </c>
      <c r="AF682" t="s">
        <v>74</v>
      </c>
      <c r="AG682">
        <v>58</v>
      </c>
      <c r="AH682">
        <v>26</v>
      </c>
      <c r="AI682">
        <v>27</v>
      </c>
      <c r="AJ682">
        <v>0</v>
      </c>
      <c r="AK682">
        <v>4</v>
      </c>
      <c r="AL682" t="s">
        <v>221</v>
      </c>
      <c r="AM682" t="s">
        <v>678</v>
      </c>
      <c r="AN682" t="s">
        <v>2692</v>
      </c>
      <c r="AO682" t="s">
        <v>2693</v>
      </c>
      <c r="AP682" t="s">
        <v>2694</v>
      </c>
      <c r="AQ682" t="s">
        <v>74</v>
      </c>
      <c r="AR682" t="s">
        <v>2695</v>
      </c>
      <c r="AS682" t="s">
        <v>2696</v>
      </c>
      <c r="AT682" t="s">
        <v>10218</v>
      </c>
      <c r="AU682">
        <v>2006</v>
      </c>
      <c r="AV682">
        <v>143</v>
      </c>
      <c r="AW682">
        <v>6</v>
      </c>
      <c r="AX682" t="s">
        <v>74</v>
      </c>
      <c r="AY682" t="s">
        <v>74</v>
      </c>
      <c r="AZ682" t="s">
        <v>74</v>
      </c>
      <c r="BA682" t="s">
        <v>74</v>
      </c>
      <c r="BB682">
        <v>797</v>
      </c>
      <c r="BC682">
        <v>819</v>
      </c>
      <c r="BD682" t="s">
        <v>74</v>
      </c>
      <c r="BE682" t="s">
        <v>10758</v>
      </c>
      <c r="BF682" t="str">
        <f>HYPERLINK("http://dx.doi.org/10.1017/S0016756806002603","http://dx.doi.org/10.1017/S0016756806002603")</f>
        <v>http://dx.doi.org/10.1017/S0016756806002603</v>
      </c>
      <c r="BG682" t="s">
        <v>74</v>
      </c>
      <c r="BH682" t="s">
        <v>74</v>
      </c>
      <c r="BI682">
        <v>23</v>
      </c>
      <c r="BJ682" t="s">
        <v>685</v>
      </c>
      <c r="BK682" t="s">
        <v>97</v>
      </c>
      <c r="BL682" t="s">
        <v>642</v>
      </c>
      <c r="BM682" t="s">
        <v>10744</v>
      </c>
      <c r="BN682" t="s">
        <v>74</v>
      </c>
      <c r="BO682" t="s">
        <v>74</v>
      </c>
      <c r="BP682" t="s">
        <v>74</v>
      </c>
      <c r="BQ682" t="s">
        <v>74</v>
      </c>
      <c r="BR682" t="s">
        <v>100</v>
      </c>
      <c r="BS682" t="s">
        <v>10759</v>
      </c>
      <c r="BT682" t="str">
        <f>HYPERLINK("https%3A%2F%2Fwww.webofscience.com%2Fwos%2Fwoscc%2Ffull-record%2FWOS:000242741000004","View Full Record in Web of Science")</f>
        <v>View Full Record in Web of Science</v>
      </c>
    </row>
    <row r="683" spans="1:72" x14ac:dyDescent="0.15">
      <c r="A683" t="s">
        <v>72</v>
      </c>
      <c r="B683" t="s">
        <v>10760</v>
      </c>
      <c r="C683" t="s">
        <v>74</v>
      </c>
      <c r="D683" t="s">
        <v>74</v>
      </c>
      <c r="E683" t="s">
        <v>74</v>
      </c>
      <c r="F683" t="s">
        <v>10761</v>
      </c>
      <c r="G683" t="s">
        <v>74</v>
      </c>
      <c r="H683" t="s">
        <v>74</v>
      </c>
      <c r="I683" t="s">
        <v>10762</v>
      </c>
      <c r="J683" t="s">
        <v>8678</v>
      </c>
      <c r="K683" t="s">
        <v>74</v>
      </c>
      <c r="L683" t="s">
        <v>74</v>
      </c>
      <c r="M683" t="s">
        <v>78</v>
      </c>
      <c r="N683" t="s">
        <v>79</v>
      </c>
      <c r="O683" t="s">
        <v>74</v>
      </c>
      <c r="P683" t="s">
        <v>74</v>
      </c>
      <c r="Q683" t="s">
        <v>74</v>
      </c>
      <c r="R683" t="s">
        <v>74</v>
      </c>
      <c r="S683" t="s">
        <v>74</v>
      </c>
      <c r="T683" t="s">
        <v>10763</v>
      </c>
      <c r="U683" t="s">
        <v>10764</v>
      </c>
      <c r="V683" t="s">
        <v>10765</v>
      </c>
      <c r="W683" t="s">
        <v>10766</v>
      </c>
      <c r="X683" t="s">
        <v>10767</v>
      </c>
      <c r="Y683" t="s">
        <v>10768</v>
      </c>
      <c r="Z683" t="s">
        <v>74</v>
      </c>
      <c r="AA683" t="s">
        <v>10769</v>
      </c>
      <c r="AB683" t="s">
        <v>10770</v>
      </c>
      <c r="AC683" t="s">
        <v>74</v>
      </c>
      <c r="AD683" t="s">
        <v>74</v>
      </c>
      <c r="AE683" t="s">
        <v>74</v>
      </c>
      <c r="AF683" t="s">
        <v>74</v>
      </c>
      <c r="AG683">
        <v>33</v>
      </c>
      <c r="AH683">
        <v>51</v>
      </c>
      <c r="AI683">
        <v>59</v>
      </c>
      <c r="AJ683">
        <v>1</v>
      </c>
      <c r="AK683">
        <v>17</v>
      </c>
      <c r="AL683" t="s">
        <v>8688</v>
      </c>
      <c r="AM683" t="s">
        <v>1112</v>
      </c>
      <c r="AN683" t="s">
        <v>8689</v>
      </c>
      <c r="AO683" t="s">
        <v>8690</v>
      </c>
      <c r="AP683" t="s">
        <v>74</v>
      </c>
      <c r="AQ683" t="s">
        <v>74</v>
      </c>
      <c r="AR683" t="s">
        <v>8678</v>
      </c>
      <c r="AS683" t="s">
        <v>642</v>
      </c>
      <c r="AT683" t="s">
        <v>10218</v>
      </c>
      <c r="AU683">
        <v>2006</v>
      </c>
      <c r="AV683">
        <v>34</v>
      </c>
      <c r="AW683">
        <v>11</v>
      </c>
      <c r="AX683" t="s">
        <v>74</v>
      </c>
      <c r="AY683" t="s">
        <v>74</v>
      </c>
      <c r="AZ683" t="s">
        <v>74</v>
      </c>
      <c r="BA683" t="s">
        <v>74</v>
      </c>
      <c r="BB683">
        <v>985</v>
      </c>
      <c r="BC683">
        <v>988</v>
      </c>
      <c r="BD683" t="s">
        <v>74</v>
      </c>
      <c r="BE683" t="s">
        <v>10771</v>
      </c>
      <c r="BF683" t="str">
        <f>HYPERLINK("http://dx.doi.org/10.1130/G22792A.1","http://dx.doi.org/10.1130/G22792A.1")</f>
        <v>http://dx.doi.org/10.1130/G22792A.1</v>
      </c>
      <c r="BG683" t="s">
        <v>74</v>
      </c>
      <c r="BH683" t="s">
        <v>74</v>
      </c>
      <c r="BI683">
        <v>4</v>
      </c>
      <c r="BJ683" t="s">
        <v>642</v>
      </c>
      <c r="BK683" t="s">
        <v>97</v>
      </c>
      <c r="BL683" t="s">
        <v>642</v>
      </c>
      <c r="BM683" t="s">
        <v>10772</v>
      </c>
      <c r="BN683" t="s">
        <v>74</v>
      </c>
      <c r="BO683" t="s">
        <v>74</v>
      </c>
      <c r="BP683" t="s">
        <v>74</v>
      </c>
      <c r="BQ683" t="s">
        <v>74</v>
      </c>
      <c r="BR683" t="s">
        <v>100</v>
      </c>
      <c r="BS683" t="s">
        <v>10773</v>
      </c>
      <c r="BT683" t="str">
        <f>HYPERLINK("https%3A%2F%2Fwww.webofscience.com%2Fwos%2Fwoscc%2Ffull-record%2FWOS:000241706800023","View Full Record in Web of Science")</f>
        <v>View Full Record in Web of Science</v>
      </c>
    </row>
    <row r="684" spans="1:72" x14ac:dyDescent="0.15">
      <c r="A684" t="s">
        <v>72</v>
      </c>
      <c r="B684" t="s">
        <v>10774</v>
      </c>
      <c r="C684" t="s">
        <v>74</v>
      </c>
      <c r="D684" t="s">
        <v>74</v>
      </c>
      <c r="E684" t="s">
        <v>74</v>
      </c>
      <c r="F684" t="s">
        <v>10775</v>
      </c>
      <c r="G684" t="s">
        <v>74</v>
      </c>
      <c r="H684" t="s">
        <v>74</v>
      </c>
      <c r="I684" t="s">
        <v>10776</v>
      </c>
      <c r="J684" t="s">
        <v>10777</v>
      </c>
      <c r="K684" t="s">
        <v>74</v>
      </c>
      <c r="L684" t="s">
        <v>74</v>
      </c>
      <c r="M684" t="s">
        <v>78</v>
      </c>
      <c r="N684" t="s">
        <v>79</v>
      </c>
      <c r="O684" t="s">
        <v>74</v>
      </c>
      <c r="P684" t="s">
        <v>74</v>
      </c>
      <c r="Q684" t="s">
        <v>74</v>
      </c>
      <c r="R684" t="s">
        <v>74</v>
      </c>
      <c r="S684" t="s">
        <v>74</v>
      </c>
      <c r="T684" t="s">
        <v>10778</v>
      </c>
      <c r="U684" t="s">
        <v>10779</v>
      </c>
      <c r="V684" t="s">
        <v>10780</v>
      </c>
      <c r="W684" t="s">
        <v>10781</v>
      </c>
      <c r="X684" t="s">
        <v>10782</v>
      </c>
      <c r="Y684" t="s">
        <v>10783</v>
      </c>
      <c r="Z684" t="s">
        <v>10784</v>
      </c>
      <c r="AA684" t="s">
        <v>74</v>
      </c>
      <c r="AB684" t="s">
        <v>10785</v>
      </c>
      <c r="AC684" t="s">
        <v>74</v>
      </c>
      <c r="AD684" t="s">
        <v>74</v>
      </c>
      <c r="AE684" t="s">
        <v>74</v>
      </c>
      <c r="AF684" t="s">
        <v>74</v>
      </c>
      <c r="AG684">
        <v>32</v>
      </c>
      <c r="AH684">
        <v>9</v>
      </c>
      <c r="AI684">
        <v>9</v>
      </c>
      <c r="AJ684">
        <v>0</v>
      </c>
      <c r="AK684">
        <v>2</v>
      </c>
      <c r="AL684" t="s">
        <v>2467</v>
      </c>
      <c r="AM684" t="s">
        <v>818</v>
      </c>
      <c r="AN684" t="s">
        <v>2468</v>
      </c>
      <c r="AO684" t="s">
        <v>10786</v>
      </c>
      <c r="AP684" t="s">
        <v>10787</v>
      </c>
      <c r="AQ684" t="s">
        <v>74</v>
      </c>
      <c r="AR684" t="s">
        <v>10788</v>
      </c>
      <c r="AS684" t="s">
        <v>10789</v>
      </c>
      <c r="AT684" t="s">
        <v>10218</v>
      </c>
      <c r="AU684">
        <v>2006</v>
      </c>
      <c r="AV684">
        <v>167</v>
      </c>
      <c r="AW684">
        <v>2</v>
      </c>
      <c r="AX684" t="s">
        <v>74</v>
      </c>
      <c r="AY684" t="s">
        <v>74</v>
      </c>
      <c r="AZ684" t="s">
        <v>74</v>
      </c>
      <c r="BA684" t="s">
        <v>74</v>
      </c>
      <c r="BB684">
        <v>684</v>
      </c>
      <c r="BC684">
        <v>692</v>
      </c>
      <c r="BD684" t="s">
        <v>74</v>
      </c>
      <c r="BE684" t="s">
        <v>10790</v>
      </c>
      <c r="BF684" t="str">
        <f>HYPERLINK("http://dx.doi.org/10.1111/j.1365-246X.2006.02953.x","http://dx.doi.org/10.1111/j.1365-246X.2006.02953.x")</f>
        <v>http://dx.doi.org/10.1111/j.1365-246X.2006.02953.x</v>
      </c>
      <c r="BG684" t="s">
        <v>74</v>
      </c>
      <c r="BH684" t="s">
        <v>74</v>
      </c>
      <c r="BI684">
        <v>9</v>
      </c>
      <c r="BJ684" t="s">
        <v>865</v>
      </c>
      <c r="BK684" t="s">
        <v>97</v>
      </c>
      <c r="BL684" t="s">
        <v>865</v>
      </c>
      <c r="BM684" t="s">
        <v>10791</v>
      </c>
      <c r="BN684" t="s">
        <v>74</v>
      </c>
      <c r="BO684" t="s">
        <v>124</v>
      </c>
      <c r="BP684" t="s">
        <v>74</v>
      </c>
      <c r="BQ684" t="s">
        <v>74</v>
      </c>
      <c r="BR684" t="s">
        <v>100</v>
      </c>
      <c r="BS684" t="s">
        <v>10792</v>
      </c>
      <c r="BT684" t="str">
        <f>HYPERLINK("https%3A%2F%2Fwww.webofscience.com%2Fwos%2Fwoscc%2Ffull-record%2FWOS:000241766800021","View Full Record in Web of Science")</f>
        <v>View Full Record in Web of Science</v>
      </c>
    </row>
    <row r="685" spans="1:72" x14ac:dyDescent="0.15">
      <c r="A685" t="s">
        <v>72</v>
      </c>
      <c r="B685" t="s">
        <v>10793</v>
      </c>
      <c r="C685" t="s">
        <v>74</v>
      </c>
      <c r="D685" t="s">
        <v>74</v>
      </c>
      <c r="E685" t="s">
        <v>74</v>
      </c>
      <c r="F685" t="s">
        <v>10794</v>
      </c>
      <c r="G685" t="s">
        <v>74</v>
      </c>
      <c r="H685" t="s">
        <v>74</v>
      </c>
      <c r="I685" t="s">
        <v>10795</v>
      </c>
      <c r="J685" t="s">
        <v>10796</v>
      </c>
      <c r="K685" t="s">
        <v>74</v>
      </c>
      <c r="L685" t="s">
        <v>74</v>
      </c>
      <c r="M685" t="s">
        <v>78</v>
      </c>
      <c r="N685" t="s">
        <v>176</v>
      </c>
      <c r="O685" t="s">
        <v>2821</v>
      </c>
      <c r="P685" t="s">
        <v>1098</v>
      </c>
      <c r="Q685" t="s">
        <v>1099</v>
      </c>
      <c r="R685" t="s">
        <v>74</v>
      </c>
      <c r="S685" t="s">
        <v>74</v>
      </c>
      <c r="T685" t="s">
        <v>10797</v>
      </c>
      <c r="U685" t="s">
        <v>10798</v>
      </c>
      <c r="V685" t="s">
        <v>10799</v>
      </c>
      <c r="W685" t="s">
        <v>10800</v>
      </c>
      <c r="X685" t="s">
        <v>10801</v>
      </c>
      <c r="Y685" t="s">
        <v>10802</v>
      </c>
      <c r="Z685" t="s">
        <v>10803</v>
      </c>
      <c r="AA685" t="s">
        <v>74</v>
      </c>
      <c r="AB685" t="s">
        <v>74</v>
      </c>
      <c r="AC685" t="s">
        <v>74</v>
      </c>
      <c r="AD685" t="s">
        <v>74</v>
      </c>
      <c r="AE685" t="s">
        <v>74</v>
      </c>
      <c r="AF685" t="s">
        <v>74</v>
      </c>
      <c r="AG685">
        <v>57</v>
      </c>
      <c r="AH685">
        <v>46</v>
      </c>
      <c r="AI685">
        <v>58</v>
      </c>
      <c r="AJ685">
        <v>1</v>
      </c>
      <c r="AK685">
        <v>7</v>
      </c>
      <c r="AL685" t="s">
        <v>2829</v>
      </c>
      <c r="AM685" t="s">
        <v>903</v>
      </c>
      <c r="AN685" t="s">
        <v>2830</v>
      </c>
      <c r="AO685" t="s">
        <v>10804</v>
      </c>
      <c r="AP685" t="s">
        <v>10805</v>
      </c>
      <c r="AQ685" t="s">
        <v>74</v>
      </c>
      <c r="AR685" t="s">
        <v>10806</v>
      </c>
      <c r="AS685" t="s">
        <v>10807</v>
      </c>
      <c r="AT685" t="s">
        <v>10218</v>
      </c>
      <c r="AU685">
        <v>2006</v>
      </c>
      <c r="AV685">
        <v>10</v>
      </c>
      <c r="AW685" t="s">
        <v>1283</v>
      </c>
      <c r="AX685" t="s">
        <v>74</v>
      </c>
      <c r="AY685" t="s">
        <v>74</v>
      </c>
      <c r="AZ685" t="s">
        <v>74</v>
      </c>
      <c r="BA685" t="s">
        <v>74</v>
      </c>
      <c r="BB685">
        <v>349</v>
      </c>
      <c r="BC685">
        <v>356</v>
      </c>
      <c r="BD685" t="s">
        <v>74</v>
      </c>
      <c r="BE685" t="s">
        <v>10808</v>
      </c>
      <c r="BF685" t="str">
        <f>HYPERLINK("http://dx.doi.org/10.1016/j.gr.2006.04.011","http://dx.doi.org/10.1016/j.gr.2006.04.011")</f>
        <v>http://dx.doi.org/10.1016/j.gr.2006.04.011</v>
      </c>
      <c r="BG685" t="s">
        <v>74</v>
      </c>
      <c r="BH685" t="s">
        <v>74</v>
      </c>
      <c r="BI685">
        <v>8</v>
      </c>
      <c r="BJ685" t="s">
        <v>685</v>
      </c>
      <c r="BK685" t="s">
        <v>197</v>
      </c>
      <c r="BL685" t="s">
        <v>642</v>
      </c>
      <c r="BM685" t="s">
        <v>10809</v>
      </c>
      <c r="BN685" t="s">
        <v>74</v>
      </c>
      <c r="BO685" t="s">
        <v>74</v>
      </c>
      <c r="BP685" t="s">
        <v>74</v>
      </c>
      <c r="BQ685" t="s">
        <v>74</v>
      </c>
      <c r="BR685" t="s">
        <v>100</v>
      </c>
      <c r="BS685" t="s">
        <v>10810</v>
      </c>
      <c r="BT685" t="str">
        <f>HYPERLINK("https%3A%2F%2Fwww.webofscience.com%2Fwos%2Fwoscc%2Ffull-record%2FWOS:000241898700010","View Full Record in Web of Science")</f>
        <v>View Full Record in Web of Science</v>
      </c>
    </row>
    <row r="686" spans="1:72" x14ac:dyDescent="0.15">
      <c r="A686" t="s">
        <v>72</v>
      </c>
      <c r="B686" t="s">
        <v>10811</v>
      </c>
      <c r="C686" t="s">
        <v>74</v>
      </c>
      <c r="D686" t="s">
        <v>74</v>
      </c>
      <c r="E686" t="s">
        <v>74</v>
      </c>
      <c r="F686" t="s">
        <v>10812</v>
      </c>
      <c r="G686" t="s">
        <v>74</v>
      </c>
      <c r="H686" t="s">
        <v>74</v>
      </c>
      <c r="I686" t="s">
        <v>10813</v>
      </c>
      <c r="J686" t="s">
        <v>2966</v>
      </c>
      <c r="K686" t="s">
        <v>74</v>
      </c>
      <c r="L686" t="s">
        <v>74</v>
      </c>
      <c r="M686" t="s">
        <v>78</v>
      </c>
      <c r="N686" t="s">
        <v>79</v>
      </c>
      <c r="O686" t="s">
        <v>74</v>
      </c>
      <c r="P686" t="s">
        <v>74</v>
      </c>
      <c r="Q686" t="s">
        <v>74</v>
      </c>
      <c r="R686" t="s">
        <v>74</v>
      </c>
      <c r="S686" t="s">
        <v>74</v>
      </c>
      <c r="T686" t="s">
        <v>10814</v>
      </c>
      <c r="U686" t="s">
        <v>10815</v>
      </c>
      <c r="V686" t="s">
        <v>10816</v>
      </c>
      <c r="W686" t="s">
        <v>10817</v>
      </c>
      <c r="X686" t="s">
        <v>10818</v>
      </c>
      <c r="Y686" t="s">
        <v>10819</v>
      </c>
      <c r="Z686" t="s">
        <v>10820</v>
      </c>
      <c r="AA686" t="s">
        <v>74</v>
      </c>
      <c r="AB686" t="s">
        <v>74</v>
      </c>
      <c r="AC686" t="s">
        <v>74</v>
      </c>
      <c r="AD686" t="s">
        <v>74</v>
      </c>
      <c r="AE686" t="s">
        <v>74</v>
      </c>
      <c r="AF686" t="s">
        <v>74</v>
      </c>
      <c r="AG686">
        <v>38</v>
      </c>
      <c r="AH686">
        <v>20</v>
      </c>
      <c r="AI686">
        <v>22</v>
      </c>
      <c r="AJ686">
        <v>0</v>
      </c>
      <c r="AK686">
        <v>8</v>
      </c>
      <c r="AL686" t="s">
        <v>10821</v>
      </c>
      <c r="AM686" t="s">
        <v>1197</v>
      </c>
      <c r="AN686" t="s">
        <v>3323</v>
      </c>
      <c r="AO686" t="s">
        <v>2974</v>
      </c>
      <c r="AP686" t="s">
        <v>74</v>
      </c>
      <c r="AQ686" t="s">
        <v>74</v>
      </c>
      <c r="AR686" t="s">
        <v>2975</v>
      </c>
      <c r="AS686" t="s">
        <v>2976</v>
      </c>
      <c r="AT686" t="s">
        <v>10218</v>
      </c>
      <c r="AU686">
        <v>2006</v>
      </c>
      <c r="AV686">
        <v>63</v>
      </c>
      <c r="AW686">
        <v>9</v>
      </c>
      <c r="AX686" t="s">
        <v>74</v>
      </c>
      <c r="AY686" t="s">
        <v>74</v>
      </c>
      <c r="AZ686" t="s">
        <v>74</v>
      </c>
      <c r="BA686" t="s">
        <v>74</v>
      </c>
      <c r="BB686">
        <v>1726</v>
      </c>
      <c r="BC686">
        <v>1735</v>
      </c>
      <c r="BD686" t="s">
        <v>74</v>
      </c>
      <c r="BE686" t="s">
        <v>10822</v>
      </c>
      <c r="BF686" t="str">
        <f>HYPERLINK("http://dx.doi.org/10.1016/j.icesjms.2006.06.013","http://dx.doi.org/10.1016/j.icesjms.2006.06.013")</f>
        <v>http://dx.doi.org/10.1016/j.icesjms.2006.06.013</v>
      </c>
      <c r="BG686" t="s">
        <v>74</v>
      </c>
      <c r="BH686" t="s">
        <v>74</v>
      </c>
      <c r="BI686">
        <v>10</v>
      </c>
      <c r="BJ686" t="s">
        <v>2978</v>
      </c>
      <c r="BK686" t="s">
        <v>97</v>
      </c>
      <c r="BL686" t="s">
        <v>2978</v>
      </c>
      <c r="BM686" t="s">
        <v>10823</v>
      </c>
      <c r="BN686" t="s">
        <v>74</v>
      </c>
      <c r="BO686" t="s">
        <v>124</v>
      </c>
      <c r="BP686" t="s">
        <v>74</v>
      </c>
      <c r="BQ686" t="s">
        <v>74</v>
      </c>
      <c r="BR686" t="s">
        <v>100</v>
      </c>
      <c r="BS686" t="s">
        <v>10824</v>
      </c>
      <c r="BT686" t="str">
        <f>HYPERLINK("https%3A%2F%2Fwww.webofscience.com%2Fwos%2Fwoscc%2Ffull-record%2FWOS:000242375100016","View Full Record in Web of Science")</f>
        <v>View Full Record in Web of Science</v>
      </c>
    </row>
    <row r="687" spans="1:72" x14ac:dyDescent="0.15">
      <c r="A687" t="s">
        <v>72</v>
      </c>
      <c r="B687" t="s">
        <v>10825</v>
      </c>
      <c r="C687" t="s">
        <v>74</v>
      </c>
      <c r="D687" t="s">
        <v>74</v>
      </c>
      <c r="E687" t="s">
        <v>74</v>
      </c>
      <c r="F687" t="s">
        <v>10826</v>
      </c>
      <c r="G687" t="s">
        <v>74</v>
      </c>
      <c r="H687" t="s">
        <v>74</v>
      </c>
      <c r="I687" t="s">
        <v>10827</v>
      </c>
      <c r="J687" t="s">
        <v>10828</v>
      </c>
      <c r="K687" t="s">
        <v>74</v>
      </c>
      <c r="L687" t="s">
        <v>74</v>
      </c>
      <c r="M687" t="s">
        <v>78</v>
      </c>
      <c r="N687" t="s">
        <v>79</v>
      </c>
      <c r="O687" t="s">
        <v>74</v>
      </c>
      <c r="P687" t="s">
        <v>74</v>
      </c>
      <c r="Q687" t="s">
        <v>74</v>
      </c>
      <c r="R687" t="s">
        <v>74</v>
      </c>
      <c r="S687" t="s">
        <v>74</v>
      </c>
      <c r="T687" t="s">
        <v>74</v>
      </c>
      <c r="U687" t="s">
        <v>74</v>
      </c>
      <c r="V687" t="s">
        <v>10829</v>
      </c>
      <c r="W687" t="s">
        <v>10830</v>
      </c>
      <c r="X687" t="s">
        <v>74</v>
      </c>
      <c r="Y687" t="s">
        <v>10831</v>
      </c>
      <c r="Z687" t="s">
        <v>10832</v>
      </c>
      <c r="AA687" t="s">
        <v>74</v>
      </c>
      <c r="AB687" t="s">
        <v>74</v>
      </c>
      <c r="AC687" t="s">
        <v>74</v>
      </c>
      <c r="AD687" t="s">
        <v>74</v>
      </c>
      <c r="AE687" t="s">
        <v>74</v>
      </c>
      <c r="AF687" t="s">
        <v>74</v>
      </c>
      <c r="AG687">
        <v>1</v>
      </c>
      <c r="AH687">
        <v>0</v>
      </c>
      <c r="AI687">
        <v>0</v>
      </c>
      <c r="AJ687">
        <v>1</v>
      </c>
      <c r="AK687">
        <v>8</v>
      </c>
      <c r="AL687" t="s">
        <v>1133</v>
      </c>
      <c r="AM687" t="s">
        <v>1134</v>
      </c>
      <c r="AN687" t="s">
        <v>1135</v>
      </c>
      <c r="AO687" t="s">
        <v>10833</v>
      </c>
      <c r="AP687" t="s">
        <v>10834</v>
      </c>
      <c r="AQ687" t="s">
        <v>74</v>
      </c>
      <c r="AR687" t="s">
        <v>10835</v>
      </c>
      <c r="AS687" t="s">
        <v>10836</v>
      </c>
      <c r="AT687" t="s">
        <v>10540</v>
      </c>
      <c r="AU687">
        <v>2006</v>
      </c>
      <c r="AV687">
        <v>10</v>
      </c>
      <c r="AW687">
        <v>6</v>
      </c>
      <c r="AX687" t="s">
        <v>74</v>
      </c>
      <c r="AY687" t="s">
        <v>74</v>
      </c>
      <c r="AZ687" t="s">
        <v>74</v>
      </c>
      <c r="BA687" t="s">
        <v>74</v>
      </c>
      <c r="BB687">
        <v>64</v>
      </c>
      <c r="BC687">
        <v>68</v>
      </c>
      <c r="BD687" t="s">
        <v>74</v>
      </c>
      <c r="BE687" t="s">
        <v>10837</v>
      </c>
      <c r="BF687" t="str">
        <f>HYPERLINK("http://dx.doi.org/10.1109/MIC.2006.119","http://dx.doi.org/10.1109/MIC.2006.119")</f>
        <v>http://dx.doi.org/10.1109/MIC.2006.119</v>
      </c>
      <c r="BG687" t="s">
        <v>74</v>
      </c>
      <c r="BH687" t="s">
        <v>74</v>
      </c>
      <c r="BI687">
        <v>5</v>
      </c>
      <c r="BJ687" t="s">
        <v>10838</v>
      </c>
      <c r="BK687" t="s">
        <v>97</v>
      </c>
      <c r="BL687" t="s">
        <v>1141</v>
      </c>
      <c r="BM687" t="s">
        <v>10839</v>
      </c>
      <c r="BN687" t="s">
        <v>74</v>
      </c>
      <c r="BO687" t="s">
        <v>74</v>
      </c>
      <c r="BP687" t="s">
        <v>74</v>
      </c>
      <c r="BQ687" t="s">
        <v>74</v>
      </c>
      <c r="BR687" t="s">
        <v>100</v>
      </c>
      <c r="BS687" t="s">
        <v>10840</v>
      </c>
      <c r="BT687" t="str">
        <f>HYPERLINK("https%3A%2F%2Fwww.webofscience.com%2Fwos%2Fwoscc%2Ffull-record%2FWOS:000241909100009","View Full Record in Web of Science")</f>
        <v>View Full Record in Web of Science</v>
      </c>
    </row>
    <row r="688" spans="1:72" x14ac:dyDescent="0.15">
      <c r="A688" t="s">
        <v>72</v>
      </c>
      <c r="B688" t="s">
        <v>10841</v>
      </c>
      <c r="C688" t="s">
        <v>74</v>
      </c>
      <c r="D688" t="s">
        <v>74</v>
      </c>
      <c r="E688" t="s">
        <v>74</v>
      </c>
      <c r="F688" t="s">
        <v>10842</v>
      </c>
      <c r="G688" t="s">
        <v>74</v>
      </c>
      <c r="H688" t="s">
        <v>74</v>
      </c>
      <c r="I688" t="s">
        <v>10843</v>
      </c>
      <c r="J688" t="s">
        <v>10844</v>
      </c>
      <c r="K688" t="s">
        <v>74</v>
      </c>
      <c r="L688" t="s">
        <v>74</v>
      </c>
      <c r="M688" t="s">
        <v>78</v>
      </c>
      <c r="N688" t="s">
        <v>79</v>
      </c>
      <c r="O688" t="s">
        <v>74</v>
      </c>
      <c r="P688" t="s">
        <v>74</v>
      </c>
      <c r="Q688" t="s">
        <v>74</v>
      </c>
      <c r="R688" t="s">
        <v>74</v>
      </c>
      <c r="S688" t="s">
        <v>74</v>
      </c>
      <c r="T688" t="s">
        <v>74</v>
      </c>
      <c r="U688" t="s">
        <v>10845</v>
      </c>
      <c r="V688" t="s">
        <v>10846</v>
      </c>
      <c r="W688" t="s">
        <v>10847</v>
      </c>
      <c r="X688" t="s">
        <v>10848</v>
      </c>
      <c r="Y688" t="s">
        <v>10849</v>
      </c>
      <c r="Z688" t="s">
        <v>10850</v>
      </c>
      <c r="AA688" t="s">
        <v>74</v>
      </c>
      <c r="AB688" t="s">
        <v>74</v>
      </c>
      <c r="AC688" t="s">
        <v>74</v>
      </c>
      <c r="AD688" t="s">
        <v>74</v>
      </c>
      <c r="AE688" t="s">
        <v>74</v>
      </c>
      <c r="AF688" t="s">
        <v>74</v>
      </c>
      <c r="AG688">
        <v>42</v>
      </c>
      <c r="AH688">
        <v>74</v>
      </c>
      <c r="AI688">
        <v>78</v>
      </c>
      <c r="AJ688">
        <v>0</v>
      </c>
      <c r="AK688">
        <v>14</v>
      </c>
      <c r="AL688" t="s">
        <v>4064</v>
      </c>
      <c r="AM688" t="s">
        <v>4065</v>
      </c>
      <c r="AN688" t="s">
        <v>4097</v>
      </c>
      <c r="AO688" t="s">
        <v>10851</v>
      </c>
      <c r="AP688" t="s">
        <v>10852</v>
      </c>
      <c r="AQ688" t="s">
        <v>74</v>
      </c>
      <c r="AR688" t="s">
        <v>10853</v>
      </c>
      <c r="AS688" t="s">
        <v>10854</v>
      </c>
      <c r="AT688" t="s">
        <v>10218</v>
      </c>
      <c r="AU688">
        <v>2006</v>
      </c>
      <c r="AV688">
        <v>45</v>
      </c>
      <c r="AW688">
        <v>11</v>
      </c>
      <c r="AX688" t="s">
        <v>74</v>
      </c>
      <c r="AY688" t="s">
        <v>74</v>
      </c>
      <c r="AZ688" t="s">
        <v>74</v>
      </c>
      <c r="BA688" t="s">
        <v>74</v>
      </c>
      <c r="BB688">
        <v>1505</v>
      </c>
      <c r="BC688">
        <v>1524</v>
      </c>
      <c r="BD688" t="s">
        <v>74</v>
      </c>
      <c r="BE688" t="s">
        <v>10855</v>
      </c>
      <c r="BF688" t="str">
        <f>HYPERLINK("http://dx.doi.org/10.1175/JAM2421.1","http://dx.doi.org/10.1175/JAM2421.1")</f>
        <v>http://dx.doi.org/10.1175/JAM2421.1</v>
      </c>
      <c r="BG688" t="s">
        <v>74</v>
      </c>
      <c r="BH688" t="s">
        <v>74</v>
      </c>
      <c r="BI688">
        <v>20</v>
      </c>
      <c r="BJ688" t="s">
        <v>3208</v>
      </c>
      <c r="BK688" t="s">
        <v>97</v>
      </c>
      <c r="BL688" t="s">
        <v>3208</v>
      </c>
      <c r="BM688" t="s">
        <v>10856</v>
      </c>
      <c r="BN688" t="s">
        <v>74</v>
      </c>
      <c r="BO688" t="s">
        <v>7456</v>
      </c>
      <c r="BP688" t="s">
        <v>74</v>
      </c>
      <c r="BQ688" t="s">
        <v>74</v>
      </c>
      <c r="BR688" t="s">
        <v>100</v>
      </c>
      <c r="BS688" t="s">
        <v>10857</v>
      </c>
      <c r="BT688" t="str">
        <f>HYPERLINK("https%3A%2F%2Fwww.webofscience.com%2Fwos%2Fwoscc%2Ffull-record%2FWOS:000242717000004","View Full Record in Web of Science")</f>
        <v>View Full Record in Web of Science</v>
      </c>
    </row>
    <row r="689" spans="1:72" x14ac:dyDescent="0.15">
      <c r="A689" t="s">
        <v>72</v>
      </c>
      <c r="B689" t="s">
        <v>10858</v>
      </c>
      <c r="C689" t="s">
        <v>74</v>
      </c>
      <c r="D689" t="s">
        <v>74</v>
      </c>
      <c r="E689" t="s">
        <v>74</v>
      </c>
      <c r="F689" t="s">
        <v>10859</v>
      </c>
      <c r="G689" t="s">
        <v>74</v>
      </c>
      <c r="H689" t="s">
        <v>74</v>
      </c>
      <c r="I689" t="s">
        <v>10860</v>
      </c>
      <c r="J689" t="s">
        <v>10861</v>
      </c>
      <c r="K689" t="s">
        <v>74</v>
      </c>
      <c r="L689" t="s">
        <v>74</v>
      </c>
      <c r="M689" t="s">
        <v>78</v>
      </c>
      <c r="N689" t="s">
        <v>79</v>
      </c>
      <c r="O689" t="s">
        <v>74</v>
      </c>
      <c r="P689" t="s">
        <v>74</v>
      </c>
      <c r="Q689" t="s">
        <v>74</v>
      </c>
      <c r="R689" t="s">
        <v>74</v>
      </c>
      <c r="S689" t="s">
        <v>74</v>
      </c>
      <c r="T689" t="s">
        <v>10862</v>
      </c>
      <c r="U689" t="s">
        <v>10863</v>
      </c>
      <c r="V689" t="s">
        <v>10864</v>
      </c>
      <c r="W689" t="s">
        <v>10865</v>
      </c>
      <c r="X689" t="s">
        <v>10866</v>
      </c>
      <c r="Y689" t="s">
        <v>10867</v>
      </c>
      <c r="Z689" t="s">
        <v>10868</v>
      </c>
      <c r="AA689" t="s">
        <v>74</v>
      </c>
      <c r="AB689" t="s">
        <v>74</v>
      </c>
      <c r="AC689" t="s">
        <v>74</v>
      </c>
      <c r="AD689" t="s">
        <v>74</v>
      </c>
      <c r="AE689" t="s">
        <v>74</v>
      </c>
      <c r="AF689" t="s">
        <v>74</v>
      </c>
      <c r="AG689">
        <v>42</v>
      </c>
      <c r="AH689">
        <v>33</v>
      </c>
      <c r="AI689">
        <v>35</v>
      </c>
      <c r="AJ689">
        <v>0</v>
      </c>
      <c r="AK689">
        <v>8</v>
      </c>
      <c r="AL689" t="s">
        <v>159</v>
      </c>
      <c r="AM689" t="s">
        <v>160</v>
      </c>
      <c r="AN689" t="s">
        <v>161</v>
      </c>
      <c r="AO689" t="s">
        <v>10869</v>
      </c>
      <c r="AP689" t="s">
        <v>10870</v>
      </c>
      <c r="AQ689" t="s">
        <v>74</v>
      </c>
      <c r="AR689" t="s">
        <v>10871</v>
      </c>
      <c r="AS689" t="s">
        <v>10872</v>
      </c>
      <c r="AT689" t="s">
        <v>10218</v>
      </c>
      <c r="AU689">
        <v>2006</v>
      </c>
      <c r="AV689">
        <v>101</v>
      </c>
      <c r="AW689">
        <v>5</v>
      </c>
      <c r="AX689" t="s">
        <v>74</v>
      </c>
      <c r="AY689" t="s">
        <v>74</v>
      </c>
      <c r="AZ689" t="s">
        <v>74</v>
      </c>
      <c r="BA689" t="s">
        <v>74</v>
      </c>
      <c r="BB689">
        <v>1039</v>
      </c>
      <c r="BC689">
        <v>1048</v>
      </c>
      <c r="BD689" t="s">
        <v>74</v>
      </c>
      <c r="BE689" t="s">
        <v>10873</v>
      </c>
      <c r="BF689" t="str">
        <f>HYPERLINK("http://dx.doi.org/10.1111/j.1365-2672.2006.03006.x","http://dx.doi.org/10.1111/j.1365-2672.2006.03006.x")</f>
        <v>http://dx.doi.org/10.1111/j.1365-2672.2006.03006.x</v>
      </c>
      <c r="BG689" t="s">
        <v>74</v>
      </c>
      <c r="BH689" t="s">
        <v>74</v>
      </c>
      <c r="BI689">
        <v>10</v>
      </c>
      <c r="BJ689" t="s">
        <v>10874</v>
      </c>
      <c r="BK689" t="s">
        <v>97</v>
      </c>
      <c r="BL689" t="s">
        <v>10874</v>
      </c>
      <c r="BM689" t="s">
        <v>10875</v>
      </c>
      <c r="BN689">
        <v>17040228</v>
      </c>
      <c r="BO689" t="s">
        <v>74</v>
      </c>
      <c r="BP689" t="s">
        <v>74</v>
      </c>
      <c r="BQ689" t="s">
        <v>74</v>
      </c>
      <c r="BR689" t="s">
        <v>100</v>
      </c>
      <c r="BS689" t="s">
        <v>10876</v>
      </c>
      <c r="BT689" t="str">
        <f>HYPERLINK("https%3A%2F%2Fwww.webofscience.com%2Fwos%2Fwoscc%2Ffull-record%2FWOS:000241199100009","View Full Record in Web of Science")</f>
        <v>View Full Record in Web of Science</v>
      </c>
    </row>
    <row r="690" spans="1:72" x14ac:dyDescent="0.15">
      <c r="A690" t="s">
        <v>72</v>
      </c>
      <c r="B690" t="s">
        <v>10877</v>
      </c>
      <c r="C690" t="s">
        <v>74</v>
      </c>
      <c r="D690" t="s">
        <v>74</v>
      </c>
      <c r="E690" t="s">
        <v>74</v>
      </c>
      <c r="F690" t="s">
        <v>10878</v>
      </c>
      <c r="G690" t="s">
        <v>74</v>
      </c>
      <c r="H690" t="s">
        <v>74</v>
      </c>
      <c r="I690" t="s">
        <v>10879</v>
      </c>
      <c r="J690" t="s">
        <v>8929</v>
      </c>
      <c r="K690" t="s">
        <v>74</v>
      </c>
      <c r="L690" t="s">
        <v>74</v>
      </c>
      <c r="M690" t="s">
        <v>78</v>
      </c>
      <c r="N690" t="s">
        <v>79</v>
      </c>
      <c r="O690" t="s">
        <v>74</v>
      </c>
      <c r="P690" t="s">
        <v>74</v>
      </c>
      <c r="Q690" t="s">
        <v>74</v>
      </c>
      <c r="R690" t="s">
        <v>74</v>
      </c>
      <c r="S690" t="s">
        <v>74</v>
      </c>
      <c r="T690" t="s">
        <v>10880</v>
      </c>
      <c r="U690" t="s">
        <v>10881</v>
      </c>
      <c r="V690" t="s">
        <v>10882</v>
      </c>
      <c r="W690" t="s">
        <v>10883</v>
      </c>
      <c r="X690" t="s">
        <v>10884</v>
      </c>
      <c r="Y690" t="s">
        <v>10885</v>
      </c>
      <c r="Z690" t="s">
        <v>10886</v>
      </c>
      <c r="AA690" t="s">
        <v>74</v>
      </c>
      <c r="AB690" t="s">
        <v>74</v>
      </c>
      <c r="AC690" t="s">
        <v>74</v>
      </c>
      <c r="AD690" t="s">
        <v>74</v>
      </c>
      <c r="AE690" t="s">
        <v>74</v>
      </c>
      <c r="AF690" t="s">
        <v>74</v>
      </c>
      <c r="AG690">
        <v>25</v>
      </c>
      <c r="AH690">
        <v>25</v>
      </c>
      <c r="AI690">
        <v>28</v>
      </c>
      <c r="AJ690">
        <v>0</v>
      </c>
      <c r="AK690">
        <v>5</v>
      </c>
      <c r="AL690" t="s">
        <v>817</v>
      </c>
      <c r="AM690" t="s">
        <v>818</v>
      </c>
      <c r="AN690" t="s">
        <v>819</v>
      </c>
      <c r="AO690" t="s">
        <v>8938</v>
      </c>
      <c r="AP690" t="s">
        <v>8953</v>
      </c>
      <c r="AQ690" t="s">
        <v>74</v>
      </c>
      <c r="AR690" t="s">
        <v>8939</v>
      </c>
      <c r="AS690" t="s">
        <v>8940</v>
      </c>
      <c r="AT690" t="s">
        <v>10218</v>
      </c>
      <c r="AU690">
        <v>2006</v>
      </c>
      <c r="AV690">
        <v>68</v>
      </c>
      <c r="AW690">
        <v>16</v>
      </c>
      <c r="AX690" t="s">
        <v>74</v>
      </c>
      <c r="AY690" t="s">
        <v>74</v>
      </c>
      <c r="AZ690" t="s">
        <v>74</v>
      </c>
      <c r="BA690" t="s">
        <v>74</v>
      </c>
      <c r="BB690">
        <v>1834</v>
      </c>
      <c r="BC690">
        <v>1842</v>
      </c>
      <c r="BD690" t="s">
        <v>74</v>
      </c>
      <c r="BE690" t="s">
        <v>10887</v>
      </c>
      <c r="BF690" t="str">
        <f>HYPERLINK("http://dx.doi.org/10.1016/j.jastp.2006.06.004","http://dx.doi.org/10.1016/j.jastp.2006.06.004")</f>
        <v>http://dx.doi.org/10.1016/j.jastp.2006.06.004</v>
      </c>
      <c r="BG690" t="s">
        <v>74</v>
      </c>
      <c r="BH690" t="s">
        <v>74</v>
      </c>
      <c r="BI690">
        <v>9</v>
      </c>
      <c r="BJ690" t="s">
        <v>8942</v>
      </c>
      <c r="BK690" t="s">
        <v>97</v>
      </c>
      <c r="BL690" t="s">
        <v>8942</v>
      </c>
      <c r="BM690" t="s">
        <v>10888</v>
      </c>
      <c r="BN690" t="s">
        <v>74</v>
      </c>
      <c r="BO690" t="s">
        <v>74</v>
      </c>
      <c r="BP690" t="s">
        <v>74</v>
      </c>
      <c r="BQ690" t="s">
        <v>74</v>
      </c>
      <c r="BR690" t="s">
        <v>100</v>
      </c>
      <c r="BS690" t="s">
        <v>10889</v>
      </c>
      <c r="BT690" t="str">
        <f>HYPERLINK("https%3A%2F%2Fwww.webofscience.com%2Fwos%2Fwoscc%2Ffull-record%2FWOS:000242528400004","View Full Record in Web of Science")</f>
        <v>View Full Record in Web of Science</v>
      </c>
    </row>
    <row r="691" spans="1:72" x14ac:dyDescent="0.15">
      <c r="A691" t="s">
        <v>72</v>
      </c>
      <c r="B691" t="s">
        <v>10890</v>
      </c>
      <c r="C691" t="s">
        <v>74</v>
      </c>
      <c r="D691" t="s">
        <v>74</v>
      </c>
      <c r="E691" t="s">
        <v>74</v>
      </c>
      <c r="F691" t="s">
        <v>10891</v>
      </c>
      <c r="G691" t="s">
        <v>74</v>
      </c>
      <c r="H691" t="s">
        <v>74</v>
      </c>
      <c r="I691" t="s">
        <v>10892</v>
      </c>
      <c r="J691" t="s">
        <v>10893</v>
      </c>
      <c r="K691" t="s">
        <v>74</v>
      </c>
      <c r="L691" t="s">
        <v>74</v>
      </c>
      <c r="M691" t="s">
        <v>78</v>
      </c>
      <c r="N691" t="s">
        <v>79</v>
      </c>
      <c r="O691" t="s">
        <v>74</v>
      </c>
      <c r="P691" t="s">
        <v>74</v>
      </c>
      <c r="Q691" t="s">
        <v>74</v>
      </c>
      <c r="R691" t="s">
        <v>74</v>
      </c>
      <c r="S691" t="s">
        <v>74</v>
      </c>
      <c r="T691" t="s">
        <v>10894</v>
      </c>
      <c r="U691" t="s">
        <v>10895</v>
      </c>
      <c r="V691" t="s">
        <v>10896</v>
      </c>
      <c r="W691" t="s">
        <v>10897</v>
      </c>
      <c r="X691" t="s">
        <v>10898</v>
      </c>
      <c r="Y691" t="s">
        <v>10899</v>
      </c>
      <c r="Z691" t="s">
        <v>10900</v>
      </c>
      <c r="AA691" t="s">
        <v>10901</v>
      </c>
      <c r="AB691" t="s">
        <v>10902</v>
      </c>
      <c r="AC691" t="s">
        <v>74</v>
      </c>
      <c r="AD691" t="s">
        <v>74</v>
      </c>
      <c r="AE691" t="s">
        <v>74</v>
      </c>
      <c r="AF691" t="s">
        <v>74</v>
      </c>
      <c r="AG691">
        <v>72</v>
      </c>
      <c r="AH691">
        <v>13</v>
      </c>
      <c r="AI691">
        <v>14</v>
      </c>
      <c r="AJ691">
        <v>0</v>
      </c>
      <c r="AK691">
        <v>3</v>
      </c>
      <c r="AL691" t="s">
        <v>613</v>
      </c>
      <c r="AM691" t="s">
        <v>614</v>
      </c>
      <c r="AN691" t="s">
        <v>1156</v>
      </c>
      <c r="AO691" t="s">
        <v>10903</v>
      </c>
      <c r="AP691" t="s">
        <v>10904</v>
      </c>
      <c r="AQ691" t="s">
        <v>74</v>
      </c>
      <c r="AR691" t="s">
        <v>10905</v>
      </c>
      <c r="AS691" t="s">
        <v>10906</v>
      </c>
      <c r="AT691" t="s">
        <v>10218</v>
      </c>
      <c r="AU691">
        <v>2006</v>
      </c>
      <c r="AV691">
        <v>55</v>
      </c>
      <c r="AW691">
        <v>3</v>
      </c>
      <c r="AX691" t="s">
        <v>74</v>
      </c>
      <c r="AY691" t="s">
        <v>74</v>
      </c>
      <c r="AZ691" t="s">
        <v>74</v>
      </c>
      <c r="BA691" t="s">
        <v>74</v>
      </c>
      <c r="BB691">
        <v>205</v>
      </c>
      <c r="BC691">
        <v>226</v>
      </c>
      <c r="BD691" t="s">
        <v>74</v>
      </c>
      <c r="BE691" t="s">
        <v>10907</v>
      </c>
      <c r="BF691" t="str">
        <f>HYPERLINK("http://dx.doi.org/10.1007/s10874-006-9028-8","http://dx.doi.org/10.1007/s10874-006-9028-8")</f>
        <v>http://dx.doi.org/10.1007/s10874-006-9028-8</v>
      </c>
      <c r="BG691" t="s">
        <v>74</v>
      </c>
      <c r="BH691" t="s">
        <v>74</v>
      </c>
      <c r="BI691">
        <v>22</v>
      </c>
      <c r="BJ691" t="s">
        <v>359</v>
      </c>
      <c r="BK691" t="s">
        <v>97</v>
      </c>
      <c r="BL691" t="s">
        <v>360</v>
      </c>
      <c r="BM691" t="s">
        <v>10908</v>
      </c>
      <c r="BN691" t="s">
        <v>74</v>
      </c>
      <c r="BO691" t="s">
        <v>3355</v>
      </c>
      <c r="BP691" t="s">
        <v>74</v>
      </c>
      <c r="BQ691" t="s">
        <v>74</v>
      </c>
      <c r="BR691" t="s">
        <v>100</v>
      </c>
      <c r="BS691" t="s">
        <v>10909</v>
      </c>
      <c r="BT691" t="str">
        <f>HYPERLINK("https%3A%2F%2Fwww.webofscience.com%2Fwos%2Fwoscc%2Ffull-record%2FWOS:000241797000002","View Full Record in Web of Science")</f>
        <v>View Full Record in Web of Science</v>
      </c>
    </row>
    <row r="692" spans="1:72" x14ac:dyDescent="0.15">
      <c r="A692" t="s">
        <v>72</v>
      </c>
      <c r="B692" t="s">
        <v>10910</v>
      </c>
      <c r="C692" t="s">
        <v>74</v>
      </c>
      <c r="D692" t="s">
        <v>74</v>
      </c>
      <c r="E692" t="s">
        <v>74</v>
      </c>
      <c r="F692" t="s">
        <v>10911</v>
      </c>
      <c r="G692" t="s">
        <v>74</v>
      </c>
      <c r="H692" t="s">
        <v>74</v>
      </c>
      <c r="I692" t="s">
        <v>10912</v>
      </c>
      <c r="J692" t="s">
        <v>9899</v>
      </c>
      <c r="K692" t="s">
        <v>74</v>
      </c>
      <c r="L692" t="s">
        <v>74</v>
      </c>
      <c r="M692" t="s">
        <v>78</v>
      </c>
      <c r="N692" t="s">
        <v>79</v>
      </c>
      <c r="O692" t="s">
        <v>74</v>
      </c>
      <c r="P692" t="s">
        <v>74</v>
      </c>
      <c r="Q692" t="s">
        <v>74</v>
      </c>
      <c r="R692" t="s">
        <v>74</v>
      </c>
      <c r="S692" t="s">
        <v>74</v>
      </c>
      <c r="T692" t="s">
        <v>74</v>
      </c>
      <c r="U692" t="s">
        <v>10913</v>
      </c>
      <c r="V692" t="s">
        <v>10914</v>
      </c>
      <c r="W692" t="s">
        <v>10915</v>
      </c>
      <c r="X692" t="s">
        <v>4757</v>
      </c>
      <c r="Y692" t="s">
        <v>10916</v>
      </c>
      <c r="Z692" t="s">
        <v>10917</v>
      </c>
      <c r="AA692" t="s">
        <v>10918</v>
      </c>
      <c r="AB692" t="s">
        <v>10919</v>
      </c>
      <c r="AC692" t="s">
        <v>74</v>
      </c>
      <c r="AD692" t="s">
        <v>74</v>
      </c>
      <c r="AE692" t="s">
        <v>74</v>
      </c>
      <c r="AF692" t="s">
        <v>74</v>
      </c>
      <c r="AG692">
        <v>31</v>
      </c>
      <c r="AH692">
        <v>22</v>
      </c>
      <c r="AI692">
        <v>25</v>
      </c>
      <c r="AJ692">
        <v>0</v>
      </c>
      <c r="AK692">
        <v>2</v>
      </c>
      <c r="AL692" t="s">
        <v>4064</v>
      </c>
      <c r="AM692" t="s">
        <v>4065</v>
      </c>
      <c r="AN692" t="s">
        <v>4097</v>
      </c>
      <c r="AO692" t="s">
        <v>9906</v>
      </c>
      <c r="AP692" t="s">
        <v>9907</v>
      </c>
      <c r="AQ692" t="s">
        <v>74</v>
      </c>
      <c r="AR692" t="s">
        <v>9908</v>
      </c>
      <c r="AS692" t="s">
        <v>9909</v>
      </c>
      <c r="AT692" t="s">
        <v>10920</v>
      </c>
      <c r="AU692">
        <v>2006</v>
      </c>
      <c r="AV692">
        <v>19</v>
      </c>
      <c r="AW692">
        <v>21</v>
      </c>
      <c r="AX692" t="s">
        <v>74</v>
      </c>
      <c r="AY692" t="s">
        <v>74</v>
      </c>
      <c r="AZ692" t="s">
        <v>74</v>
      </c>
      <c r="BA692" t="s">
        <v>74</v>
      </c>
      <c r="BB692">
        <v>5467</v>
      </c>
      <c r="BC692">
        <v>5478</v>
      </c>
      <c r="BD692" t="s">
        <v>74</v>
      </c>
      <c r="BE692" t="s">
        <v>10921</v>
      </c>
      <c r="BF692" t="str">
        <f>HYPERLINK("http://dx.doi.org/10.1175/JCLI3909.1","http://dx.doi.org/10.1175/JCLI3909.1")</f>
        <v>http://dx.doi.org/10.1175/JCLI3909.1</v>
      </c>
      <c r="BG692" t="s">
        <v>74</v>
      </c>
      <c r="BH692" t="s">
        <v>74</v>
      </c>
      <c r="BI692">
        <v>12</v>
      </c>
      <c r="BJ692" t="s">
        <v>3208</v>
      </c>
      <c r="BK692" t="s">
        <v>97</v>
      </c>
      <c r="BL692" t="s">
        <v>3208</v>
      </c>
      <c r="BM692" t="s">
        <v>10922</v>
      </c>
      <c r="BN692" t="s">
        <v>74</v>
      </c>
      <c r="BO692" t="s">
        <v>124</v>
      </c>
      <c r="BP692" t="s">
        <v>74</v>
      </c>
      <c r="BQ692" t="s">
        <v>74</v>
      </c>
      <c r="BR692" t="s">
        <v>100</v>
      </c>
      <c r="BS692" t="s">
        <v>10923</v>
      </c>
      <c r="BT692" t="str">
        <f>HYPERLINK("https%3A%2F%2Fwww.webofscience.com%2Fwos%2Fwoscc%2Ffull-record%2FWOS:000242163800001","View Full Record in Web of Science")</f>
        <v>View Full Record in Web of Science</v>
      </c>
    </row>
    <row r="693" spans="1:72" x14ac:dyDescent="0.15">
      <c r="A693" t="s">
        <v>72</v>
      </c>
      <c r="B693" t="s">
        <v>10924</v>
      </c>
      <c r="C693" t="s">
        <v>74</v>
      </c>
      <c r="D693" t="s">
        <v>74</v>
      </c>
      <c r="E693" t="s">
        <v>74</v>
      </c>
      <c r="F693" t="s">
        <v>10925</v>
      </c>
      <c r="G693" t="s">
        <v>74</v>
      </c>
      <c r="H693" t="s">
        <v>74</v>
      </c>
      <c r="I693" t="s">
        <v>10926</v>
      </c>
      <c r="J693" t="s">
        <v>9899</v>
      </c>
      <c r="K693" t="s">
        <v>74</v>
      </c>
      <c r="L693" t="s">
        <v>74</v>
      </c>
      <c r="M693" t="s">
        <v>78</v>
      </c>
      <c r="N693" t="s">
        <v>79</v>
      </c>
      <c r="O693" t="s">
        <v>74</v>
      </c>
      <c r="P693" t="s">
        <v>74</v>
      </c>
      <c r="Q693" t="s">
        <v>74</v>
      </c>
      <c r="R693" t="s">
        <v>74</v>
      </c>
      <c r="S693" t="s">
        <v>74</v>
      </c>
      <c r="T693" t="s">
        <v>74</v>
      </c>
      <c r="U693" t="s">
        <v>10927</v>
      </c>
      <c r="V693" t="s">
        <v>10928</v>
      </c>
      <c r="W693" t="s">
        <v>10929</v>
      </c>
      <c r="X693" t="s">
        <v>6905</v>
      </c>
      <c r="Y693" t="s">
        <v>10930</v>
      </c>
      <c r="Z693" t="s">
        <v>10931</v>
      </c>
      <c r="AA693" t="s">
        <v>10932</v>
      </c>
      <c r="AB693" t="s">
        <v>10933</v>
      </c>
      <c r="AC693" t="s">
        <v>74</v>
      </c>
      <c r="AD693" t="s">
        <v>74</v>
      </c>
      <c r="AE693" t="s">
        <v>74</v>
      </c>
      <c r="AF693" t="s">
        <v>74</v>
      </c>
      <c r="AG693">
        <v>63</v>
      </c>
      <c r="AH693">
        <v>90</v>
      </c>
      <c r="AI693">
        <v>91</v>
      </c>
      <c r="AJ693">
        <v>0</v>
      </c>
      <c r="AK693">
        <v>19</v>
      </c>
      <c r="AL693" t="s">
        <v>4064</v>
      </c>
      <c r="AM693" t="s">
        <v>4065</v>
      </c>
      <c r="AN693" t="s">
        <v>4097</v>
      </c>
      <c r="AO693" t="s">
        <v>9906</v>
      </c>
      <c r="AP693" t="s">
        <v>9907</v>
      </c>
      <c r="AQ693" t="s">
        <v>74</v>
      </c>
      <c r="AR693" t="s">
        <v>9908</v>
      </c>
      <c r="AS693" t="s">
        <v>9909</v>
      </c>
      <c r="AT693" t="s">
        <v>10920</v>
      </c>
      <c r="AU693">
        <v>2006</v>
      </c>
      <c r="AV693">
        <v>19</v>
      </c>
      <c r="AW693">
        <v>21</v>
      </c>
      <c r="AX693" t="s">
        <v>74</v>
      </c>
      <c r="AY693" t="s">
        <v>74</v>
      </c>
      <c r="AZ693" t="s">
        <v>74</v>
      </c>
      <c r="BA693" t="s">
        <v>74</v>
      </c>
      <c r="BB693">
        <v>5479</v>
      </c>
      <c r="BC693">
        <v>5499</v>
      </c>
      <c r="BD693" t="s">
        <v>74</v>
      </c>
      <c r="BE693" t="s">
        <v>10934</v>
      </c>
      <c r="BF693" t="str">
        <f>HYPERLINK("http://dx.doi.org/10.1175/JCLI3911.1","http://dx.doi.org/10.1175/JCLI3911.1")</f>
        <v>http://dx.doi.org/10.1175/JCLI3911.1</v>
      </c>
      <c r="BG693" t="s">
        <v>74</v>
      </c>
      <c r="BH693" t="s">
        <v>74</v>
      </c>
      <c r="BI693">
        <v>21</v>
      </c>
      <c r="BJ693" t="s">
        <v>3208</v>
      </c>
      <c r="BK693" t="s">
        <v>97</v>
      </c>
      <c r="BL693" t="s">
        <v>3208</v>
      </c>
      <c r="BM693" t="s">
        <v>10922</v>
      </c>
      <c r="BN693" t="s">
        <v>74</v>
      </c>
      <c r="BO693" t="s">
        <v>7456</v>
      </c>
      <c r="BP693" t="s">
        <v>74</v>
      </c>
      <c r="BQ693" t="s">
        <v>74</v>
      </c>
      <c r="BR693" t="s">
        <v>100</v>
      </c>
      <c r="BS693" t="s">
        <v>10935</v>
      </c>
      <c r="BT693" t="str">
        <f>HYPERLINK("https%3A%2F%2Fwww.webofscience.com%2Fwos%2Fwoscc%2Ffull-record%2FWOS:000242163800002","View Full Record in Web of Science")</f>
        <v>View Full Record in Web of Science</v>
      </c>
    </row>
    <row r="694" spans="1:72" x14ac:dyDescent="0.15">
      <c r="A694" t="s">
        <v>72</v>
      </c>
      <c r="B694" t="s">
        <v>10936</v>
      </c>
      <c r="C694" t="s">
        <v>74</v>
      </c>
      <c r="D694" t="s">
        <v>74</v>
      </c>
      <c r="E694" t="s">
        <v>74</v>
      </c>
      <c r="F694" t="s">
        <v>10937</v>
      </c>
      <c r="G694" t="s">
        <v>74</v>
      </c>
      <c r="H694" t="s">
        <v>74</v>
      </c>
      <c r="I694" t="s">
        <v>10938</v>
      </c>
      <c r="J694" t="s">
        <v>10939</v>
      </c>
      <c r="K694" t="s">
        <v>74</v>
      </c>
      <c r="L694" t="s">
        <v>74</v>
      </c>
      <c r="M694" t="s">
        <v>78</v>
      </c>
      <c r="N694" t="s">
        <v>79</v>
      </c>
      <c r="O694" t="s">
        <v>74</v>
      </c>
      <c r="P694" t="s">
        <v>74</v>
      </c>
      <c r="Q694" t="s">
        <v>74</v>
      </c>
      <c r="R694" t="s">
        <v>74</v>
      </c>
      <c r="S694" t="s">
        <v>74</v>
      </c>
      <c r="T694" t="s">
        <v>10940</v>
      </c>
      <c r="U694" t="s">
        <v>10941</v>
      </c>
      <c r="V694" t="s">
        <v>10942</v>
      </c>
      <c r="W694" t="s">
        <v>10943</v>
      </c>
      <c r="X694" t="s">
        <v>10944</v>
      </c>
      <c r="Y694" t="s">
        <v>10945</v>
      </c>
      <c r="Z694" t="s">
        <v>10946</v>
      </c>
      <c r="AA694" t="s">
        <v>74</v>
      </c>
      <c r="AB694" t="s">
        <v>74</v>
      </c>
      <c r="AC694" t="s">
        <v>74</v>
      </c>
      <c r="AD694" t="s">
        <v>74</v>
      </c>
      <c r="AE694" t="s">
        <v>74</v>
      </c>
      <c r="AF694" t="s">
        <v>74</v>
      </c>
      <c r="AG694">
        <v>42</v>
      </c>
      <c r="AH694">
        <v>53</v>
      </c>
      <c r="AI694">
        <v>61</v>
      </c>
      <c r="AJ694">
        <v>0</v>
      </c>
      <c r="AK694">
        <v>17</v>
      </c>
      <c r="AL694" t="s">
        <v>2467</v>
      </c>
      <c r="AM694" t="s">
        <v>818</v>
      </c>
      <c r="AN694" t="s">
        <v>2468</v>
      </c>
      <c r="AO694" t="s">
        <v>10947</v>
      </c>
      <c r="AP694" t="s">
        <v>10948</v>
      </c>
      <c r="AQ694" t="s">
        <v>74</v>
      </c>
      <c r="AR694" t="s">
        <v>10949</v>
      </c>
      <c r="AS694" t="s">
        <v>10950</v>
      </c>
      <c r="AT694" t="s">
        <v>10218</v>
      </c>
      <c r="AU694">
        <v>2006</v>
      </c>
      <c r="AV694">
        <v>57</v>
      </c>
      <c r="AW694">
        <v>14</v>
      </c>
      <c r="AX694" t="s">
        <v>74</v>
      </c>
      <c r="AY694" t="s">
        <v>74</v>
      </c>
      <c r="AZ694" t="s">
        <v>74</v>
      </c>
      <c r="BA694" t="s">
        <v>74</v>
      </c>
      <c r="BB694">
        <v>3793</v>
      </c>
      <c r="BC694">
        <v>3799</v>
      </c>
      <c r="BD694" t="s">
        <v>74</v>
      </c>
      <c r="BE694" t="s">
        <v>10951</v>
      </c>
      <c r="BF694" t="str">
        <f>HYPERLINK("http://dx.doi.org/10.1093/jxb/erl140","http://dx.doi.org/10.1093/jxb/erl140")</f>
        <v>http://dx.doi.org/10.1093/jxb/erl140</v>
      </c>
      <c r="BG694" t="s">
        <v>74</v>
      </c>
      <c r="BH694" t="s">
        <v>74</v>
      </c>
      <c r="BI694">
        <v>7</v>
      </c>
      <c r="BJ694" t="s">
        <v>576</v>
      </c>
      <c r="BK694" t="s">
        <v>97</v>
      </c>
      <c r="BL694" t="s">
        <v>576</v>
      </c>
      <c r="BM694" t="s">
        <v>10952</v>
      </c>
      <c r="BN694">
        <v>16997900</v>
      </c>
      <c r="BO694" t="s">
        <v>7319</v>
      </c>
      <c r="BP694" t="s">
        <v>74</v>
      </c>
      <c r="BQ694" t="s">
        <v>74</v>
      </c>
      <c r="BR694" t="s">
        <v>100</v>
      </c>
      <c r="BS694" t="s">
        <v>10953</v>
      </c>
      <c r="BT694" t="str">
        <f>HYPERLINK("https%3A%2F%2Fwww.webofscience.com%2Fwos%2Fwoscc%2Ffull-record%2FWOS:000242270200025","View Full Record in Web of Science")</f>
        <v>View Full Record in Web of Science</v>
      </c>
    </row>
    <row r="695" spans="1:72" x14ac:dyDescent="0.15">
      <c r="A695" t="s">
        <v>72</v>
      </c>
      <c r="B695" t="s">
        <v>10954</v>
      </c>
      <c r="C695" t="s">
        <v>74</v>
      </c>
      <c r="D695" t="s">
        <v>74</v>
      </c>
      <c r="E695" t="s">
        <v>74</v>
      </c>
      <c r="F695" t="s">
        <v>10955</v>
      </c>
      <c r="G695" t="s">
        <v>74</v>
      </c>
      <c r="H695" t="s">
        <v>74</v>
      </c>
      <c r="I695" t="s">
        <v>10956</v>
      </c>
      <c r="J695" t="s">
        <v>10957</v>
      </c>
      <c r="K695" t="s">
        <v>74</v>
      </c>
      <c r="L695" t="s">
        <v>74</v>
      </c>
      <c r="M695" t="s">
        <v>78</v>
      </c>
      <c r="N695" t="s">
        <v>79</v>
      </c>
      <c r="O695" t="s">
        <v>74</v>
      </c>
      <c r="P695" t="s">
        <v>74</v>
      </c>
      <c r="Q695" t="s">
        <v>74</v>
      </c>
      <c r="R695" t="s">
        <v>74</v>
      </c>
      <c r="S695" t="s">
        <v>74</v>
      </c>
      <c r="T695" t="s">
        <v>10958</v>
      </c>
      <c r="U695" t="s">
        <v>10959</v>
      </c>
      <c r="V695" t="s">
        <v>10960</v>
      </c>
      <c r="W695" t="s">
        <v>10961</v>
      </c>
      <c r="X695" t="s">
        <v>10962</v>
      </c>
      <c r="Y695" t="s">
        <v>10963</v>
      </c>
      <c r="Z695" t="s">
        <v>10964</v>
      </c>
      <c r="AA695" t="s">
        <v>10965</v>
      </c>
      <c r="AB695" t="s">
        <v>10966</v>
      </c>
      <c r="AC695" t="s">
        <v>74</v>
      </c>
      <c r="AD695" t="s">
        <v>74</v>
      </c>
      <c r="AE695" t="s">
        <v>74</v>
      </c>
      <c r="AF695" t="s">
        <v>74</v>
      </c>
      <c r="AG695">
        <v>46</v>
      </c>
      <c r="AH695">
        <v>53</v>
      </c>
      <c r="AI695">
        <v>54</v>
      </c>
      <c r="AJ695">
        <v>2</v>
      </c>
      <c r="AK695">
        <v>5</v>
      </c>
      <c r="AL695" t="s">
        <v>2829</v>
      </c>
      <c r="AM695" t="s">
        <v>903</v>
      </c>
      <c r="AN695" t="s">
        <v>2830</v>
      </c>
      <c r="AO695" t="s">
        <v>10967</v>
      </c>
      <c r="AP695" t="s">
        <v>10968</v>
      </c>
      <c r="AQ695" t="s">
        <v>74</v>
      </c>
      <c r="AR695" t="s">
        <v>10969</v>
      </c>
      <c r="AS695" t="s">
        <v>10970</v>
      </c>
      <c r="AT695" t="s">
        <v>10218</v>
      </c>
      <c r="AU695">
        <v>2006</v>
      </c>
      <c r="AV695">
        <v>63</v>
      </c>
      <c r="AW695" t="s">
        <v>94</v>
      </c>
      <c r="AX695" t="s">
        <v>74</v>
      </c>
      <c r="AY695" t="s">
        <v>74</v>
      </c>
      <c r="AZ695" t="s">
        <v>74</v>
      </c>
      <c r="BA695" t="s">
        <v>74</v>
      </c>
      <c r="BB695">
        <v>20</v>
      </c>
      <c r="BC695">
        <v>34</v>
      </c>
      <c r="BD695" t="s">
        <v>74</v>
      </c>
      <c r="BE695" t="s">
        <v>10971</v>
      </c>
      <c r="BF695" t="str">
        <f>HYPERLINK("http://dx.doi.org/10.1016/j.jmarsys.2006.04.009","http://dx.doi.org/10.1016/j.jmarsys.2006.04.009")</f>
        <v>http://dx.doi.org/10.1016/j.jmarsys.2006.04.009</v>
      </c>
      <c r="BG695" t="s">
        <v>74</v>
      </c>
      <c r="BH695" t="s">
        <v>74</v>
      </c>
      <c r="BI695">
        <v>15</v>
      </c>
      <c r="BJ695" t="s">
        <v>10972</v>
      </c>
      <c r="BK695" t="s">
        <v>97</v>
      </c>
      <c r="BL695" t="s">
        <v>10973</v>
      </c>
      <c r="BM695" t="s">
        <v>10974</v>
      </c>
      <c r="BN695" t="s">
        <v>74</v>
      </c>
      <c r="BO695" t="s">
        <v>74</v>
      </c>
      <c r="BP695" t="s">
        <v>74</v>
      </c>
      <c r="BQ695" t="s">
        <v>74</v>
      </c>
      <c r="BR695" t="s">
        <v>100</v>
      </c>
      <c r="BS695" t="s">
        <v>10975</v>
      </c>
      <c r="BT695" t="str">
        <f>HYPERLINK("https%3A%2F%2Fwww.webofscience.com%2Fwos%2Fwoscc%2Ffull-record%2FWOS:000242318300002","View Full Record in Web of Science")</f>
        <v>View Full Record in Web of Science</v>
      </c>
    </row>
    <row r="696" spans="1:72" x14ac:dyDescent="0.15">
      <c r="A696" t="s">
        <v>72</v>
      </c>
      <c r="B696" t="s">
        <v>10976</v>
      </c>
      <c r="C696" t="s">
        <v>74</v>
      </c>
      <c r="D696" t="s">
        <v>74</v>
      </c>
      <c r="E696" t="s">
        <v>74</v>
      </c>
      <c r="F696" t="s">
        <v>10977</v>
      </c>
      <c r="G696" t="s">
        <v>74</v>
      </c>
      <c r="H696" t="s">
        <v>74</v>
      </c>
      <c r="I696" t="s">
        <v>10978</v>
      </c>
      <c r="J696" t="s">
        <v>10979</v>
      </c>
      <c r="K696" t="s">
        <v>74</v>
      </c>
      <c r="L696" t="s">
        <v>74</v>
      </c>
      <c r="M696" t="s">
        <v>78</v>
      </c>
      <c r="N696" t="s">
        <v>79</v>
      </c>
      <c r="O696" t="s">
        <v>74</v>
      </c>
      <c r="P696" t="s">
        <v>74</v>
      </c>
      <c r="Q696" t="s">
        <v>74</v>
      </c>
      <c r="R696" t="s">
        <v>74</v>
      </c>
      <c r="S696" t="s">
        <v>74</v>
      </c>
      <c r="T696" t="s">
        <v>10980</v>
      </c>
      <c r="U696" t="s">
        <v>10981</v>
      </c>
      <c r="V696" t="s">
        <v>10982</v>
      </c>
      <c r="W696" t="s">
        <v>10983</v>
      </c>
      <c r="X696" t="s">
        <v>10984</v>
      </c>
      <c r="Y696" t="s">
        <v>10985</v>
      </c>
      <c r="Z696" t="s">
        <v>10986</v>
      </c>
      <c r="AA696" t="s">
        <v>10987</v>
      </c>
      <c r="AB696" t="s">
        <v>10988</v>
      </c>
      <c r="AC696" t="s">
        <v>74</v>
      </c>
      <c r="AD696" t="s">
        <v>74</v>
      </c>
      <c r="AE696" t="s">
        <v>74</v>
      </c>
      <c r="AF696" t="s">
        <v>74</v>
      </c>
      <c r="AG696">
        <v>25</v>
      </c>
      <c r="AH696">
        <v>4</v>
      </c>
      <c r="AI696">
        <v>4</v>
      </c>
      <c r="AJ696">
        <v>0</v>
      </c>
      <c r="AK696">
        <v>3</v>
      </c>
      <c r="AL696" t="s">
        <v>4132</v>
      </c>
      <c r="AM696" t="s">
        <v>1928</v>
      </c>
      <c r="AN696" t="s">
        <v>4133</v>
      </c>
      <c r="AO696" t="s">
        <v>10989</v>
      </c>
      <c r="AP696" t="s">
        <v>74</v>
      </c>
      <c r="AQ696" t="s">
        <v>74</v>
      </c>
      <c r="AR696" t="s">
        <v>10990</v>
      </c>
      <c r="AS696" t="s">
        <v>10991</v>
      </c>
      <c r="AT696" t="s">
        <v>10218</v>
      </c>
      <c r="AU696">
        <v>2006</v>
      </c>
      <c r="AV696">
        <v>25</v>
      </c>
      <c r="AW696" t="s">
        <v>74</v>
      </c>
      <c r="AX696">
        <v>2</v>
      </c>
      <c r="AY696" t="s">
        <v>74</v>
      </c>
      <c r="AZ696" t="s">
        <v>74</v>
      </c>
      <c r="BA696" t="s">
        <v>74</v>
      </c>
      <c r="BB696">
        <v>153</v>
      </c>
      <c r="BC696">
        <v>156</v>
      </c>
      <c r="BD696" t="s">
        <v>74</v>
      </c>
      <c r="BE696" t="s">
        <v>10992</v>
      </c>
      <c r="BF696" t="str">
        <f>HYPERLINK("http://dx.doi.org/10.1144/jm.25.2.153","http://dx.doi.org/10.1144/jm.25.2.153")</f>
        <v>http://dx.doi.org/10.1144/jm.25.2.153</v>
      </c>
      <c r="BG696" t="s">
        <v>74</v>
      </c>
      <c r="BH696" t="s">
        <v>74</v>
      </c>
      <c r="BI696">
        <v>4</v>
      </c>
      <c r="BJ696" t="s">
        <v>4957</v>
      </c>
      <c r="BK696" t="s">
        <v>97</v>
      </c>
      <c r="BL696" t="s">
        <v>4957</v>
      </c>
      <c r="BM696" t="s">
        <v>10993</v>
      </c>
      <c r="BN696" t="s">
        <v>74</v>
      </c>
      <c r="BO696" t="s">
        <v>2155</v>
      </c>
      <c r="BP696" t="s">
        <v>74</v>
      </c>
      <c r="BQ696" t="s">
        <v>74</v>
      </c>
      <c r="BR696" t="s">
        <v>100</v>
      </c>
      <c r="BS696" t="s">
        <v>10994</v>
      </c>
      <c r="BT696" t="str">
        <f>HYPERLINK("https%3A%2F%2Fwww.webofscience.com%2Fwos%2Fwoscc%2Ffull-record%2FWOS:000242731200004","View Full Record in Web of Science")</f>
        <v>View Full Record in Web of Science</v>
      </c>
    </row>
    <row r="697" spans="1:72" x14ac:dyDescent="0.15">
      <c r="A697" t="s">
        <v>72</v>
      </c>
      <c r="B697" t="s">
        <v>10995</v>
      </c>
      <c r="C697" t="s">
        <v>74</v>
      </c>
      <c r="D697" t="s">
        <v>74</v>
      </c>
      <c r="E697" t="s">
        <v>74</v>
      </c>
      <c r="F697" t="s">
        <v>10996</v>
      </c>
      <c r="G697" t="s">
        <v>74</v>
      </c>
      <c r="H697" t="s">
        <v>74</v>
      </c>
      <c r="I697" t="s">
        <v>10997</v>
      </c>
      <c r="J697" t="s">
        <v>10998</v>
      </c>
      <c r="K697" t="s">
        <v>74</v>
      </c>
      <c r="L697" t="s">
        <v>74</v>
      </c>
      <c r="M697" t="s">
        <v>78</v>
      </c>
      <c r="N697" t="s">
        <v>79</v>
      </c>
      <c r="O697" t="s">
        <v>74</v>
      </c>
      <c r="P697" t="s">
        <v>74</v>
      </c>
      <c r="Q697" t="s">
        <v>74</v>
      </c>
      <c r="R697" t="s">
        <v>74</v>
      </c>
      <c r="S697" t="s">
        <v>74</v>
      </c>
      <c r="T697" t="s">
        <v>10999</v>
      </c>
      <c r="U697" t="s">
        <v>11000</v>
      </c>
      <c r="V697" t="s">
        <v>11001</v>
      </c>
      <c r="W697" t="s">
        <v>11002</v>
      </c>
      <c r="X697" t="s">
        <v>11003</v>
      </c>
      <c r="Y697" t="s">
        <v>11004</v>
      </c>
      <c r="Z697" t="s">
        <v>11005</v>
      </c>
      <c r="AA697" t="s">
        <v>11006</v>
      </c>
      <c r="AB697" t="s">
        <v>11007</v>
      </c>
      <c r="AC697" t="s">
        <v>157</v>
      </c>
      <c r="AD697" t="s">
        <v>158</v>
      </c>
      <c r="AE697" t="s">
        <v>74</v>
      </c>
      <c r="AF697" t="s">
        <v>74</v>
      </c>
      <c r="AG697">
        <v>70</v>
      </c>
      <c r="AH697">
        <v>58</v>
      </c>
      <c r="AI697">
        <v>63</v>
      </c>
      <c r="AJ697">
        <v>1</v>
      </c>
      <c r="AK697">
        <v>40</v>
      </c>
      <c r="AL697" t="s">
        <v>613</v>
      </c>
      <c r="AM697" t="s">
        <v>614</v>
      </c>
      <c r="AN697" t="s">
        <v>1156</v>
      </c>
      <c r="AO697" t="s">
        <v>11008</v>
      </c>
      <c r="AP697" t="s">
        <v>11009</v>
      </c>
      <c r="AQ697" t="s">
        <v>74</v>
      </c>
      <c r="AR697" t="s">
        <v>11010</v>
      </c>
      <c r="AS697" t="s">
        <v>11011</v>
      </c>
      <c r="AT697" t="s">
        <v>10218</v>
      </c>
      <c r="AU697">
        <v>2006</v>
      </c>
      <c r="AV697">
        <v>36</v>
      </c>
      <c r="AW697">
        <v>4</v>
      </c>
      <c r="AX697" t="s">
        <v>74</v>
      </c>
      <c r="AY697" t="s">
        <v>74</v>
      </c>
      <c r="AZ697" t="s">
        <v>74</v>
      </c>
      <c r="BA697" t="s">
        <v>74</v>
      </c>
      <c r="BB697">
        <v>385</v>
      </c>
      <c r="BC697">
        <v>406</v>
      </c>
      <c r="BD697" t="s">
        <v>74</v>
      </c>
      <c r="BE697" t="s">
        <v>11012</v>
      </c>
      <c r="BF697" t="str">
        <f>HYPERLINK("http://dx.doi.org/10.1007/s10933-006-9010-0","http://dx.doi.org/10.1007/s10933-006-9010-0")</f>
        <v>http://dx.doi.org/10.1007/s10933-006-9010-0</v>
      </c>
      <c r="BG697" t="s">
        <v>74</v>
      </c>
      <c r="BH697" t="s">
        <v>74</v>
      </c>
      <c r="BI697">
        <v>22</v>
      </c>
      <c r="BJ697" t="s">
        <v>11013</v>
      </c>
      <c r="BK697" t="s">
        <v>97</v>
      </c>
      <c r="BL697" t="s">
        <v>11014</v>
      </c>
      <c r="BM697" t="s">
        <v>11015</v>
      </c>
      <c r="BN697" t="s">
        <v>74</v>
      </c>
      <c r="BO697" t="s">
        <v>4307</v>
      </c>
      <c r="BP697" t="s">
        <v>74</v>
      </c>
      <c r="BQ697" t="s">
        <v>74</v>
      </c>
      <c r="BR697" t="s">
        <v>100</v>
      </c>
      <c r="BS697" t="s">
        <v>11016</v>
      </c>
      <c r="BT697" t="str">
        <f>HYPERLINK("https%3A%2F%2Fwww.webofscience.com%2Fwos%2Fwoscc%2Ffull-record%2FWOS:000241355700004","View Full Record in Web of Science")</f>
        <v>View Full Record in Web of Science</v>
      </c>
    </row>
    <row r="698" spans="1:72" x14ac:dyDescent="0.15">
      <c r="A698" t="s">
        <v>72</v>
      </c>
      <c r="B698" t="s">
        <v>11017</v>
      </c>
      <c r="C698" t="s">
        <v>74</v>
      </c>
      <c r="D698" t="s">
        <v>74</v>
      </c>
      <c r="E698" t="s">
        <v>74</v>
      </c>
      <c r="F698" t="s">
        <v>11018</v>
      </c>
      <c r="G698" t="s">
        <v>74</v>
      </c>
      <c r="H698" t="s">
        <v>74</v>
      </c>
      <c r="I698" t="s">
        <v>11019</v>
      </c>
      <c r="J698" t="s">
        <v>4055</v>
      </c>
      <c r="K698" t="s">
        <v>74</v>
      </c>
      <c r="L698" t="s">
        <v>74</v>
      </c>
      <c r="M698" t="s">
        <v>78</v>
      </c>
      <c r="N698" t="s">
        <v>79</v>
      </c>
      <c r="O698" t="s">
        <v>74</v>
      </c>
      <c r="P698" t="s">
        <v>74</v>
      </c>
      <c r="Q698" t="s">
        <v>74</v>
      </c>
      <c r="R698" t="s">
        <v>74</v>
      </c>
      <c r="S698" t="s">
        <v>74</v>
      </c>
      <c r="T698" t="s">
        <v>74</v>
      </c>
      <c r="U698" t="s">
        <v>11020</v>
      </c>
      <c r="V698" t="s">
        <v>11021</v>
      </c>
      <c r="W698" t="s">
        <v>11022</v>
      </c>
      <c r="X698" t="s">
        <v>11023</v>
      </c>
      <c r="Y698" t="s">
        <v>11024</v>
      </c>
      <c r="Z698" t="s">
        <v>11025</v>
      </c>
      <c r="AA698" t="s">
        <v>74</v>
      </c>
      <c r="AB698" t="s">
        <v>11026</v>
      </c>
      <c r="AC698" t="s">
        <v>74</v>
      </c>
      <c r="AD698" t="s">
        <v>74</v>
      </c>
      <c r="AE698" t="s">
        <v>74</v>
      </c>
      <c r="AF698" t="s">
        <v>74</v>
      </c>
      <c r="AG698">
        <v>33</v>
      </c>
      <c r="AH698">
        <v>52</v>
      </c>
      <c r="AI698">
        <v>61</v>
      </c>
      <c r="AJ698">
        <v>0</v>
      </c>
      <c r="AK698">
        <v>9</v>
      </c>
      <c r="AL698" t="s">
        <v>4064</v>
      </c>
      <c r="AM698" t="s">
        <v>4065</v>
      </c>
      <c r="AN698" t="s">
        <v>4066</v>
      </c>
      <c r="AO698" t="s">
        <v>4067</v>
      </c>
      <c r="AP698" t="s">
        <v>4068</v>
      </c>
      <c r="AQ698" t="s">
        <v>74</v>
      </c>
      <c r="AR698" t="s">
        <v>4069</v>
      </c>
      <c r="AS698" t="s">
        <v>4070</v>
      </c>
      <c r="AT698" t="s">
        <v>10218</v>
      </c>
      <c r="AU698">
        <v>2006</v>
      </c>
      <c r="AV698">
        <v>36</v>
      </c>
      <c r="AW698">
        <v>11</v>
      </c>
      <c r="AX698" t="s">
        <v>74</v>
      </c>
      <c r="AY698" t="s">
        <v>74</v>
      </c>
      <c r="AZ698" t="s">
        <v>74</v>
      </c>
      <c r="BA698" t="s">
        <v>74</v>
      </c>
      <c r="BB698">
        <v>2060</v>
      </c>
      <c r="BC698">
        <v>2074</v>
      </c>
      <c r="BD698" t="s">
        <v>74</v>
      </c>
      <c r="BE698" t="s">
        <v>11027</v>
      </c>
      <c r="BF698" t="str">
        <f>HYPERLINK("http://dx.doi.org/10.1175/JPO2964.1","http://dx.doi.org/10.1175/JPO2964.1")</f>
        <v>http://dx.doi.org/10.1175/JPO2964.1</v>
      </c>
      <c r="BG698" t="s">
        <v>74</v>
      </c>
      <c r="BH698" t="s">
        <v>74</v>
      </c>
      <c r="BI698">
        <v>15</v>
      </c>
      <c r="BJ698" t="s">
        <v>1260</v>
      </c>
      <c r="BK698" t="s">
        <v>97</v>
      </c>
      <c r="BL698" t="s">
        <v>1260</v>
      </c>
      <c r="BM698" t="s">
        <v>11028</v>
      </c>
      <c r="BN698" t="s">
        <v>74</v>
      </c>
      <c r="BO698" t="s">
        <v>2155</v>
      </c>
      <c r="BP698" t="s">
        <v>74</v>
      </c>
      <c r="BQ698" t="s">
        <v>74</v>
      </c>
      <c r="BR698" t="s">
        <v>100</v>
      </c>
      <c r="BS698" t="s">
        <v>11029</v>
      </c>
      <c r="BT698" t="str">
        <f>HYPERLINK("https%3A%2F%2Fwww.webofscience.com%2Fwos%2Fwoscc%2Ffull-record%2FWOS:000242618500005","View Full Record in Web of Science")</f>
        <v>View Full Record in Web of Science</v>
      </c>
    </row>
    <row r="699" spans="1:72" x14ac:dyDescent="0.15">
      <c r="A699" t="s">
        <v>72</v>
      </c>
      <c r="B699" t="s">
        <v>11030</v>
      </c>
      <c r="C699" t="s">
        <v>74</v>
      </c>
      <c r="D699" t="s">
        <v>74</v>
      </c>
      <c r="E699" t="s">
        <v>74</v>
      </c>
      <c r="F699" t="s">
        <v>11031</v>
      </c>
      <c r="G699" t="s">
        <v>74</v>
      </c>
      <c r="H699" t="s">
        <v>74</v>
      </c>
      <c r="I699" t="s">
        <v>11032</v>
      </c>
      <c r="J699" t="s">
        <v>4055</v>
      </c>
      <c r="K699" t="s">
        <v>74</v>
      </c>
      <c r="L699" t="s">
        <v>74</v>
      </c>
      <c r="M699" t="s">
        <v>78</v>
      </c>
      <c r="N699" t="s">
        <v>79</v>
      </c>
      <c r="O699" t="s">
        <v>74</v>
      </c>
      <c r="P699" t="s">
        <v>74</v>
      </c>
      <c r="Q699" t="s">
        <v>74</v>
      </c>
      <c r="R699" t="s">
        <v>74</v>
      </c>
      <c r="S699" t="s">
        <v>74</v>
      </c>
      <c r="T699" t="s">
        <v>74</v>
      </c>
      <c r="U699" t="s">
        <v>11033</v>
      </c>
      <c r="V699" t="s">
        <v>11034</v>
      </c>
      <c r="W699" t="s">
        <v>1867</v>
      </c>
      <c r="X699" t="s">
        <v>1868</v>
      </c>
      <c r="Y699" t="s">
        <v>11035</v>
      </c>
      <c r="Z699" t="s">
        <v>11036</v>
      </c>
      <c r="AA699" t="s">
        <v>11037</v>
      </c>
      <c r="AB699" t="s">
        <v>11038</v>
      </c>
      <c r="AC699" t="s">
        <v>74</v>
      </c>
      <c r="AD699" t="s">
        <v>74</v>
      </c>
      <c r="AE699" t="s">
        <v>74</v>
      </c>
      <c r="AF699" t="s">
        <v>74</v>
      </c>
      <c r="AG699">
        <v>54</v>
      </c>
      <c r="AH699">
        <v>114</v>
      </c>
      <c r="AI699">
        <v>131</v>
      </c>
      <c r="AJ699">
        <v>2</v>
      </c>
      <c r="AK699">
        <v>30</v>
      </c>
      <c r="AL699" t="s">
        <v>4064</v>
      </c>
      <c r="AM699" t="s">
        <v>4065</v>
      </c>
      <c r="AN699" t="s">
        <v>4097</v>
      </c>
      <c r="AO699" t="s">
        <v>4067</v>
      </c>
      <c r="AP699" t="s">
        <v>4068</v>
      </c>
      <c r="AQ699" t="s">
        <v>74</v>
      </c>
      <c r="AR699" t="s">
        <v>4069</v>
      </c>
      <c r="AS699" t="s">
        <v>4070</v>
      </c>
      <c r="AT699" t="s">
        <v>10218</v>
      </c>
      <c r="AU699">
        <v>2006</v>
      </c>
      <c r="AV699">
        <v>36</v>
      </c>
      <c r="AW699">
        <v>11</v>
      </c>
      <c r="AX699" t="s">
        <v>74</v>
      </c>
      <c r="AY699" t="s">
        <v>74</v>
      </c>
      <c r="AZ699" t="s">
        <v>74</v>
      </c>
      <c r="BA699" t="s">
        <v>74</v>
      </c>
      <c r="BB699">
        <v>2075</v>
      </c>
      <c r="BC699">
        <v>2089</v>
      </c>
      <c r="BD699" t="s">
        <v>74</v>
      </c>
      <c r="BE699" t="s">
        <v>11039</v>
      </c>
      <c r="BF699" t="str">
        <f>HYPERLINK("http://dx.doi.org/10.1175/JPO2973.1","http://dx.doi.org/10.1175/JPO2973.1")</f>
        <v>http://dx.doi.org/10.1175/JPO2973.1</v>
      </c>
      <c r="BG699" t="s">
        <v>74</v>
      </c>
      <c r="BH699" t="s">
        <v>74</v>
      </c>
      <c r="BI699">
        <v>15</v>
      </c>
      <c r="BJ699" t="s">
        <v>1260</v>
      </c>
      <c r="BK699" t="s">
        <v>97</v>
      </c>
      <c r="BL699" t="s">
        <v>1260</v>
      </c>
      <c r="BM699" t="s">
        <v>11028</v>
      </c>
      <c r="BN699" t="s">
        <v>74</v>
      </c>
      <c r="BO699" t="s">
        <v>124</v>
      </c>
      <c r="BP699" t="s">
        <v>74</v>
      </c>
      <c r="BQ699" t="s">
        <v>74</v>
      </c>
      <c r="BR699" t="s">
        <v>100</v>
      </c>
      <c r="BS699" t="s">
        <v>11040</v>
      </c>
      <c r="BT699" t="str">
        <f>HYPERLINK("https%3A%2F%2Fwww.webofscience.com%2Fwos%2Fwoscc%2Ffull-record%2FWOS:000242618500006","View Full Record in Web of Science")</f>
        <v>View Full Record in Web of Science</v>
      </c>
    </row>
    <row r="700" spans="1:72" x14ac:dyDescent="0.15">
      <c r="A700" t="s">
        <v>72</v>
      </c>
      <c r="B700" t="s">
        <v>11041</v>
      </c>
      <c r="C700" t="s">
        <v>74</v>
      </c>
      <c r="D700" t="s">
        <v>74</v>
      </c>
      <c r="E700" t="s">
        <v>74</v>
      </c>
      <c r="F700" t="s">
        <v>11042</v>
      </c>
      <c r="G700" t="s">
        <v>74</v>
      </c>
      <c r="H700" t="s">
        <v>74</v>
      </c>
      <c r="I700" t="s">
        <v>11043</v>
      </c>
      <c r="J700" t="s">
        <v>11044</v>
      </c>
      <c r="K700" t="s">
        <v>74</v>
      </c>
      <c r="L700" t="s">
        <v>74</v>
      </c>
      <c r="M700" t="s">
        <v>78</v>
      </c>
      <c r="N700" t="s">
        <v>1431</v>
      </c>
      <c r="O700" t="s">
        <v>74</v>
      </c>
      <c r="P700" t="s">
        <v>74</v>
      </c>
      <c r="Q700" t="s">
        <v>74</v>
      </c>
      <c r="R700" t="s">
        <v>74</v>
      </c>
      <c r="S700" t="s">
        <v>74</v>
      </c>
      <c r="T700" t="s">
        <v>74</v>
      </c>
      <c r="U700" t="s">
        <v>74</v>
      </c>
      <c r="V700" t="s">
        <v>74</v>
      </c>
      <c r="W700" t="s">
        <v>11045</v>
      </c>
      <c r="X700" t="s">
        <v>8978</v>
      </c>
      <c r="Y700" t="s">
        <v>11046</v>
      </c>
      <c r="Z700" t="s">
        <v>11047</v>
      </c>
      <c r="AA700" t="s">
        <v>74</v>
      </c>
      <c r="AB700" t="s">
        <v>74</v>
      </c>
      <c r="AC700" t="s">
        <v>74</v>
      </c>
      <c r="AD700" t="s">
        <v>74</v>
      </c>
      <c r="AE700" t="s">
        <v>74</v>
      </c>
      <c r="AF700" t="s">
        <v>74</v>
      </c>
      <c r="AG700">
        <v>0</v>
      </c>
      <c r="AH700">
        <v>0</v>
      </c>
      <c r="AI700">
        <v>0</v>
      </c>
      <c r="AJ700">
        <v>0</v>
      </c>
      <c r="AK700">
        <v>0</v>
      </c>
      <c r="AL700" t="s">
        <v>11048</v>
      </c>
      <c r="AM700" t="s">
        <v>7810</v>
      </c>
      <c r="AN700" t="s">
        <v>11049</v>
      </c>
      <c r="AO700" t="s">
        <v>11050</v>
      </c>
      <c r="AP700" t="s">
        <v>74</v>
      </c>
      <c r="AQ700" t="s">
        <v>74</v>
      </c>
      <c r="AR700" t="s">
        <v>11051</v>
      </c>
      <c r="AS700" t="s">
        <v>11052</v>
      </c>
      <c r="AT700" t="s">
        <v>10218</v>
      </c>
      <c r="AU700">
        <v>2006</v>
      </c>
      <c r="AV700">
        <v>68</v>
      </c>
      <c r="AW700">
        <v>5</v>
      </c>
      <c r="AX700" t="s">
        <v>74</v>
      </c>
      <c r="AY700" t="s">
        <v>74</v>
      </c>
      <c r="AZ700" t="s">
        <v>74</v>
      </c>
      <c r="BA700" t="s">
        <v>74</v>
      </c>
      <c r="BB700">
        <v>915</v>
      </c>
      <c r="BC700">
        <v>916</v>
      </c>
      <c r="BD700" t="s">
        <v>74</v>
      </c>
      <c r="BE700" t="s">
        <v>74</v>
      </c>
      <c r="BF700" t="s">
        <v>74</v>
      </c>
      <c r="BG700" t="s">
        <v>74</v>
      </c>
      <c r="BH700" t="s">
        <v>74</v>
      </c>
      <c r="BI700">
        <v>2</v>
      </c>
      <c r="BJ700" t="s">
        <v>685</v>
      </c>
      <c r="BK700" t="s">
        <v>97</v>
      </c>
      <c r="BL700" t="s">
        <v>642</v>
      </c>
      <c r="BM700" t="s">
        <v>11053</v>
      </c>
      <c r="BN700" t="s">
        <v>74</v>
      </c>
      <c r="BO700" t="s">
        <v>74</v>
      </c>
      <c r="BP700" t="s">
        <v>74</v>
      </c>
      <c r="BQ700" t="s">
        <v>74</v>
      </c>
      <c r="BR700" t="s">
        <v>100</v>
      </c>
      <c r="BS700" t="s">
        <v>11054</v>
      </c>
      <c r="BT700" t="str">
        <f>HYPERLINK("https%3A%2F%2Fwww.webofscience.com%2Fwos%2Fwoscc%2Ffull-record%2FWOS:000243813500021","View Full Record in Web of Science")</f>
        <v>View Full Record in Web of Science</v>
      </c>
    </row>
    <row r="701" spans="1:72" x14ac:dyDescent="0.15">
      <c r="A701" t="s">
        <v>72</v>
      </c>
      <c r="B701" t="s">
        <v>11055</v>
      </c>
      <c r="C701" t="s">
        <v>74</v>
      </c>
      <c r="D701" t="s">
        <v>74</v>
      </c>
      <c r="E701" t="s">
        <v>74</v>
      </c>
      <c r="F701" t="s">
        <v>11056</v>
      </c>
      <c r="G701" t="s">
        <v>74</v>
      </c>
      <c r="H701" t="s">
        <v>74</v>
      </c>
      <c r="I701" t="s">
        <v>11057</v>
      </c>
      <c r="J701" t="s">
        <v>11058</v>
      </c>
      <c r="K701" t="s">
        <v>74</v>
      </c>
      <c r="L701" t="s">
        <v>74</v>
      </c>
      <c r="M701" t="s">
        <v>78</v>
      </c>
      <c r="N701" t="s">
        <v>176</v>
      </c>
      <c r="O701" t="s">
        <v>11059</v>
      </c>
      <c r="P701" t="s">
        <v>11060</v>
      </c>
      <c r="Q701" t="s">
        <v>11061</v>
      </c>
      <c r="R701" t="s">
        <v>74</v>
      </c>
      <c r="S701" t="s">
        <v>74</v>
      </c>
      <c r="T701" t="s">
        <v>11062</v>
      </c>
      <c r="U701" t="s">
        <v>11063</v>
      </c>
      <c r="V701" t="s">
        <v>74</v>
      </c>
      <c r="W701" t="s">
        <v>11064</v>
      </c>
      <c r="X701" t="s">
        <v>11065</v>
      </c>
      <c r="Y701" t="s">
        <v>11066</v>
      </c>
      <c r="Z701" t="s">
        <v>11067</v>
      </c>
      <c r="AA701" t="s">
        <v>11068</v>
      </c>
      <c r="AB701" t="s">
        <v>11069</v>
      </c>
      <c r="AC701" t="s">
        <v>74</v>
      </c>
      <c r="AD701" t="s">
        <v>74</v>
      </c>
      <c r="AE701" t="s">
        <v>74</v>
      </c>
      <c r="AF701" t="s">
        <v>74</v>
      </c>
      <c r="AG701">
        <v>47</v>
      </c>
      <c r="AH701">
        <v>37</v>
      </c>
      <c r="AI701">
        <v>39</v>
      </c>
      <c r="AJ701">
        <v>0</v>
      </c>
      <c r="AK701">
        <v>13</v>
      </c>
      <c r="AL701" t="s">
        <v>11070</v>
      </c>
      <c r="AM701" t="s">
        <v>11071</v>
      </c>
      <c r="AN701" t="s">
        <v>11072</v>
      </c>
      <c r="AO701" t="s">
        <v>11073</v>
      </c>
      <c r="AP701" t="s">
        <v>74</v>
      </c>
      <c r="AQ701" t="s">
        <v>74</v>
      </c>
      <c r="AR701" t="s">
        <v>11074</v>
      </c>
      <c r="AS701" t="s">
        <v>11075</v>
      </c>
      <c r="AT701" t="s">
        <v>10218</v>
      </c>
      <c r="AU701">
        <v>2006</v>
      </c>
      <c r="AV701">
        <v>70</v>
      </c>
      <c r="AW701">
        <v>5</v>
      </c>
      <c r="AX701" t="s">
        <v>74</v>
      </c>
      <c r="AY701" t="s">
        <v>74</v>
      </c>
      <c r="AZ701" t="s">
        <v>74</v>
      </c>
      <c r="BA701" t="s">
        <v>74</v>
      </c>
      <c r="BB701">
        <v>1484</v>
      </c>
      <c r="BC701">
        <v>1489</v>
      </c>
      <c r="BD701" t="s">
        <v>74</v>
      </c>
      <c r="BE701" t="s">
        <v>11076</v>
      </c>
      <c r="BF701" t="str">
        <f>HYPERLINK("http://dx.doi.org/10.2193/0022-541X(2006)70[1484:AHACFP]2.0.CO;2","http://dx.doi.org/10.2193/0022-541X(2006)70[1484:AHACFP]2.0.CO;2")</f>
        <v>http://dx.doi.org/10.2193/0022-541X(2006)70[1484:AHACFP]2.0.CO;2</v>
      </c>
      <c r="BG701" t="s">
        <v>74</v>
      </c>
      <c r="BH701" t="s">
        <v>74</v>
      </c>
      <c r="BI701">
        <v>6</v>
      </c>
      <c r="BJ701" t="s">
        <v>11077</v>
      </c>
      <c r="BK701" t="s">
        <v>1847</v>
      </c>
      <c r="BL701" t="s">
        <v>11078</v>
      </c>
      <c r="BM701" t="s">
        <v>11079</v>
      </c>
      <c r="BN701" t="s">
        <v>74</v>
      </c>
      <c r="BO701" t="s">
        <v>74</v>
      </c>
      <c r="BP701" t="s">
        <v>74</v>
      </c>
      <c r="BQ701" t="s">
        <v>74</v>
      </c>
      <c r="BR701" t="s">
        <v>100</v>
      </c>
      <c r="BS701" t="s">
        <v>11080</v>
      </c>
      <c r="BT701" t="str">
        <f>HYPERLINK("https%3A%2F%2Fwww.webofscience.com%2Fwos%2Fwoscc%2Ffull-record%2FWOS:000242932700038","View Full Record in Web of Science")</f>
        <v>View Full Record in Web of Science</v>
      </c>
    </row>
    <row r="702" spans="1:72" x14ac:dyDescent="0.15">
      <c r="A702" t="s">
        <v>72</v>
      </c>
      <c r="B702" t="s">
        <v>11081</v>
      </c>
      <c r="C702" t="s">
        <v>74</v>
      </c>
      <c r="D702" t="s">
        <v>74</v>
      </c>
      <c r="E702" t="s">
        <v>74</v>
      </c>
      <c r="F702" t="s">
        <v>11082</v>
      </c>
      <c r="G702" t="s">
        <v>74</v>
      </c>
      <c r="H702" t="s">
        <v>74</v>
      </c>
      <c r="I702" t="s">
        <v>11083</v>
      </c>
      <c r="J702" t="s">
        <v>11084</v>
      </c>
      <c r="K702" t="s">
        <v>74</v>
      </c>
      <c r="L702" t="s">
        <v>74</v>
      </c>
      <c r="M702" t="s">
        <v>78</v>
      </c>
      <c r="N702" t="s">
        <v>4036</v>
      </c>
      <c r="O702" t="s">
        <v>74</v>
      </c>
      <c r="P702" t="s">
        <v>74</v>
      </c>
      <c r="Q702" t="s">
        <v>74</v>
      </c>
      <c r="R702" t="s">
        <v>74</v>
      </c>
      <c r="S702" t="s">
        <v>74</v>
      </c>
      <c r="T702" t="s">
        <v>74</v>
      </c>
      <c r="U702" t="s">
        <v>74</v>
      </c>
      <c r="V702" t="s">
        <v>74</v>
      </c>
      <c r="W702" t="s">
        <v>11085</v>
      </c>
      <c r="X702" t="s">
        <v>11086</v>
      </c>
      <c r="Y702" t="s">
        <v>11087</v>
      </c>
      <c r="Z702" t="s">
        <v>74</v>
      </c>
      <c r="AA702" t="s">
        <v>74</v>
      </c>
      <c r="AB702" t="s">
        <v>74</v>
      </c>
      <c r="AC702" t="s">
        <v>74</v>
      </c>
      <c r="AD702" t="s">
        <v>74</v>
      </c>
      <c r="AE702" t="s">
        <v>74</v>
      </c>
      <c r="AF702" t="s">
        <v>74</v>
      </c>
      <c r="AG702">
        <v>1</v>
      </c>
      <c r="AH702">
        <v>0</v>
      </c>
      <c r="AI702">
        <v>0</v>
      </c>
      <c r="AJ702">
        <v>0</v>
      </c>
      <c r="AK702">
        <v>0</v>
      </c>
      <c r="AL702" t="s">
        <v>11088</v>
      </c>
      <c r="AM702" t="s">
        <v>678</v>
      </c>
      <c r="AN702" t="s">
        <v>11089</v>
      </c>
      <c r="AO702" t="s">
        <v>11090</v>
      </c>
      <c r="AP702" t="s">
        <v>74</v>
      </c>
      <c r="AQ702" t="s">
        <v>74</v>
      </c>
      <c r="AR702" t="s">
        <v>11091</v>
      </c>
      <c r="AS702" t="s">
        <v>11092</v>
      </c>
      <c r="AT702" t="s">
        <v>10920</v>
      </c>
      <c r="AU702">
        <v>2006</v>
      </c>
      <c r="AV702">
        <v>131</v>
      </c>
      <c r="AW702">
        <v>18</v>
      </c>
      <c r="AX702" t="s">
        <v>74</v>
      </c>
      <c r="AY702" t="s">
        <v>74</v>
      </c>
      <c r="AZ702" t="s">
        <v>74</v>
      </c>
      <c r="BA702" t="s">
        <v>74</v>
      </c>
      <c r="BB702">
        <v>84</v>
      </c>
      <c r="BC702">
        <v>84</v>
      </c>
      <c r="BD702" t="s">
        <v>74</v>
      </c>
      <c r="BE702" t="s">
        <v>74</v>
      </c>
      <c r="BF702" t="s">
        <v>74</v>
      </c>
      <c r="BG702" t="s">
        <v>74</v>
      </c>
      <c r="BH702" t="s">
        <v>74</v>
      </c>
      <c r="BI702">
        <v>1</v>
      </c>
      <c r="BJ702" t="s">
        <v>11093</v>
      </c>
      <c r="BK702" t="s">
        <v>4048</v>
      </c>
      <c r="BL702" t="s">
        <v>11093</v>
      </c>
      <c r="BM702" t="s">
        <v>11094</v>
      </c>
      <c r="BN702" t="s">
        <v>74</v>
      </c>
      <c r="BO702" t="s">
        <v>74</v>
      </c>
      <c r="BP702" t="s">
        <v>74</v>
      </c>
      <c r="BQ702" t="s">
        <v>74</v>
      </c>
      <c r="BR702" t="s">
        <v>100</v>
      </c>
      <c r="BS702" t="s">
        <v>11095</v>
      </c>
      <c r="BT702" t="str">
        <f>HYPERLINK("https%3A%2F%2Fwww.webofscience.com%2Fwos%2Fwoscc%2Ffull-record%2FWOS:000241590500129","View Full Record in Web of Science")</f>
        <v>View Full Record in Web of Science</v>
      </c>
    </row>
    <row r="703" spans="1:72" x14ac:dyDescent="0.15">
      <c r="A703" t="s">
        <v>72</v>
      </c>
      <c r="B703" t="s">
        <v>11096</v>
      </c>
      <c r="C703" t="s">
        <v>74</v>
      </c>
      <c r="D703" t="s">
        <v>74</v>
      </c>
      <c r="E703" t="s">
        <v>74</v>
      </c>
      <c r="F703" t="s">
        <v>11097</v>
      </c>
      <c r="G703" t="s">
        <v>74</v>
      </c>
      <c r="H703" t="s">
        <v>74</v>
      </c>
      <c r="I703" t="s">
        <v>11098</v>
      </c>
      <c r="J703" t="s">
        <v>4189</v>
      </c>
      <c r="K703" t="s">
        <v>74</v>
      </c>
      <c r="L703" t="s">
        <v>74</v>
      </c>
      <c r="M703" t="s">
        <v>78</v>
      </c>
      <c r="N703" t="s">
        <v>79</v>
      </c>
      <c r="O703" t="s">
        <v>74</v>
      </c>
      <c r="P703" t="s">
        <v>74</v>
      </c>
      <c r="Q703" t="s">
        <v>74</v>
      </c>
      <c r="R703" t="s">
        <v>74</v>
      </c>
      <c r="S703" t="s">
        <v>74</v>
      </c>
      <c r="T703" t="s">
        <v>74</v>
      </c>
      <c r="U703" t="s">
        <v>11099</v>
      </c>
      <c r="V703" t="s">
        <v>11100</v>
      </c>
      <c r="W703" t="s">
        <v>11101</v>
      </c>
      <c r="X703" t="s">
        <v>11102</v>
      </c>
      <c r="Y703" t="s">
        <v>11103</v>
      </c>
      <c r="Z703" t="s">
        <v>11104</v>
      </c>
      <c r="AA703" t="s">
        <v>11105</v>
      </c>
      <c r="AB703" t="s">
        <v>11106</v>
      </c>
      <c r="AC703" t="s">
        <v>11107</v>
      </c>
      <c r="AD703" t="s">
        <v>8110</v>
      </c>
      <c r="AE703" t="s">
        <v>74</v>
      </c>
      <c r="AF703" t="s">
        <v>74</v>
      </c>
      <c r="AG703">
        <v>65</v>
      </c>
      <c r="AH703">
        <v>113</v>
      </c>
      <c r="AI703">
        <v>134</v>
      </c>
      <c r="AJ703">
        <v>0</v>
      </c>
      <c r="AK703">
        <v>62</v>
      </c>
      <c r="AL703" t="s">
        <v>159</v>
      </c>
      <c r="AM703" t="s">
        <v>160</v>
      </c>
      <c r="AN703" t="s">
        <v>161</v>
      </c>
      <c r="AO703" t="s">
        <v>4201</v>
      </c>
      <c r="AP703" t="s">
        <v>11108</v>
      </c>
      <c r="AQ703" t="s">
        <v>74</v>
      </c>
      <c r="AR703" t="s">
        <v>4202</v>
      </c>
      <c r="AS703" t="s">
        <v>4203</v>
      </c>
      <c r="AT703" t="s">
        <v>10218</v>
      </c>
      <c r="AU703">
        <v>2006</v>
      </c>
      <c r="AV703">
        <v>51</v>
      </c>
      <c r="AW703">
        <v>6</v>
      </c>
      <c r="AX703" t="s">
        <v>74</v>
      </c>
      <c r="AY703" t="s">
        <v>74</v>
      </c>
      <c r="AZ703" t="s">
        <v>74</v>
      </c>
      <c r="BA703" t="s">
        <v>74</v>
      </c>
      <c r="BB703">
        <v>2485</v>
      </c>
      <c r="BC703">
        <v>2501</v>
      </c>
      <c r="BD703" t="s">
        <v>74</v>
      </c>
      <c r="BE703" t="s">
        <v>11109</v>
      </c>
      <c r="BF703" t="str">
        <f>HYPERLINK("http://dx.doi.org/10.4319/lo.2006.51.6.2485","http://dx.doi.org/10.4319/lo.2006.51.6.2485")</f>
        <v>http://dx.doi.org/10.4319/lo.2006.51.6.2485</v>
      </c>
      <c r="BG703" t="s">
        <v>74</v>
      </c>
      <c r="BH703" t="s">
        <v>74</v>
      </c>
      <c r="BI703">
        <v>17</v>
      </c>
      <c r="BJ703" t="s">
        <v>4205</v>
      </c>
      <c r="BK703" t="s">
        <v>97</v>
      </c>
      <c r="BL703" t="s">
        <v>4206</v>
      </c>
      <c r="BM703" t="s">
        <v>11110</v>
      </c>
      <c r="BN703" t="s">
        <v>74</v>
      </c>
      <c r="BO703" t="s">
        <v>1384</v>
      </c>
      <c r="BP703" t="s">
        <v>74</v>
      </c>
      <c r="BQ703" t="s">
        <v>74</v>
      </c>
      <c r="BR703" t="s">
        <v>100</v>
      </c>
      <c r="BS703" t="s">
        <v>11111</v>
      </c>
      <c r="BT703" t="str">
        <f>HYPERLINK("https%3A%2F%2Fwww.webofscience.com%2Fwos%2Fwoscc%2Ffull-record%2FWOS:000242265700001","View Full Record in Web of Science")</f>
        <v>View Full Record in Web of Science</v>
      </c>
    </row>
    <row r="704" spans="1:72" x14ac:dyDescent="0.15">
      <c r="A704" t="s">
        <v>72</v>
      </c>
      <c r="B704" t="s">
        <v>11112</v>
      </c>
      <c r="C704" t="s">
        <v>74</v>
      </c>
      <c r="D704" t="s">
        <v>74</v>
      </c>
      <c r="E704" t="s">
        <v>74</v>
      </c>
      <c r="F704" t="s">
        <v>11113</v>
      </c>
      <c r="G704" t="s">
        <v>74</v>
      </c>
      <c r="H704" t="s">
        <v>74</v>
      </c>
      <c r="I704" t="s">
        <v>11114</v>
      </c>
      <c r="J704" t="s">
        <v>4189</v>
      </c>
      <c r="K704" t="s">
        <v>74</v>
      </c>
      <c r="L704" t="s">
        <v>74</v>
      </c>
      <c r="M704" t="s">
        <v>78</v>
      </c>
      <c r="N704" t="s">
        <v>79</v>
      </c>
      <c r="O704" t="s">
        <v>74</v>
      </c>
      <c r="P704" t="s">
        <v>74</v>
      </c>
      <c r="Q704" t="s">
        <v>74</v>
      </c>
      <c r="R704" t="s">
        <v>74</v>
      </c>
      <c r="S704" t="s">
        <v>74</v>
      </c>
      <c r="T704" t="s">
        <v>74</v>
      </c>
      <c r="U704" t="s">
        <v>11115</v>
      </c>
      <c r="V704" t="s">
        <v>11116</v>
      </c>
      <c r="W704" t="s">
        <v>11117</v>
      </c>
      <c r="X704" t="s">
        <v>11118</v>
      </c>
      <c r="Y704" t="s">
        <v>11119</v>
      </c>
      <c r="Z704" t="s">
        <v>74</v>
      </c>
      <c r="AA704" t="s">
        <v>11120</v>
      </c>
      <c r="AB704" t="s">
        <v>11121</v>
      </c>
      <c r="AC704" t="s">
        <v>74</v>
      </c>
      <c r="AD704" t="s">
        <v>74</v>
      </c>
      <c r="AE704" t="s">
        <v>74</v>
      </c>
      <c r="AF704" t="s">
        <v>74</v>
      </c>
      <c r="AG704">
        <v>49</v>
      </c>
      <c r="AH704">
        <v>109</v>
      </c>
      <c r="AI704">
        <v>115</v>
      </c>
      <c r="AJ704">
        <v>1</v>
      </c>
      <c r="AK704">
        <v>26</v>
      </c>
      <c r="AL704" t="s">
        <v>159</v>
      </c>
      <c r="AM704" t="s">
        <v>160</v>
      </c>
      <c r="AN704" t="s">
        <v>161</v>
      </c>
      <c r="AO704" t="s">
        <v>4201</v>
      </c>
      <c r="AP704" t="s">
        <v>11108</v>
      </c>
      <c r="AQ704" t="s">
        <v>74</v>
      </c>
      <c r="AR704" t="s">
        <v>4202</v>
      </c>
      <c r="AS704" t="s">
        <v>4203</v>
      </c>
      <c r="AT704" t="s">
        <v>10218</v>
      </c>
      <c r="AU704">
        <v>2006</v>
      </c>
      <c r="AV704">
        <v>51</v>
      </c>
      <c r="AW704">
        <v>6</v>
      </c>
      <c r="AX704" t="s">
        <v>74</v>
      </c>
      <c r="AY704" t="s">
        <v>74</v>
      </c>
      <c r="AZ704" t="s">
        <v>74</v>
      </c>
      <c r="BA704" t="s">
        <v>74</v>
      </c>
      <c r="BB704">
        <v>2586</v>
      </c>
      <c r="BC704">
        <v>2599</v>
      </c>
      <c r="BD704" t="s">
        <v>74</v>
      </c>
      <c r="BE704" t="s">
        <v>11122</v>
      </c>
      <c r="BF704" t="str">
        <f>HYPERLINK("http://dx.doi.org/10.4319/lo.2006.51.6.2586","http://dx.doi.org/10.4319/lo.2006.51.6.2586")</f>
        <v>http://dx.doi.org/10.4319/lo.2006.51.6.2586</v>
      </c>
      <c r="BG704" t="s">
        <v>74</v>
      </c>
      <c r="BH704" t="s">
        <v>74</v>
      </c>
      <c r="BI704">
        <v>14</v>
      </c>
      <c r="BJ704" t="s">
        <v>4205</v>
      </c>
      <c r="BK704" t="s">
        <v>97</v>
      </c>
      <c r="BL704" t="s">
        <v>4206</v>
      </c>
      <c r="BM704" t="s">
        <v>11110</v>
      </c>
      <c r="BN704" t="s">
        <v>74</v>
      </c>
      <c r="BO704" t="s">
        <v>124</v>
      </c>
      <c r="BP704" t="s">
        <v>74</v>
      </c>
      <c r="BQ704" t="s">
        <v>74</v>
      </c>
      <c r="BR704" t="s">
        <v>100</v>
      </c>
      <c r="BS704" t="s">
        <v>11123</v>
      </c>
      <c r="BT704" t="str">
        <f>HYPERLINK("https%3A%2F%2Fwww.webofscience.com%2Fwos%2Fwoscc%2Ffull-record%2FWOS:000242265700008","View Full Record in Web of Science")</f>
        <v>View Full Record in Web of Science</v>
      </c>
    </row>
    <row r="705" spans="1:72" x14ac:dyDescent="0.15">
      <c r="A705" t="s">
        <v>72</v>
      </c>
      <c r="B705" t="s">
        <v>11124</v>
      </c>
      <c r="C705" t="s">
        <v>74</v>
      </c>
      <c r="D705" t="s">
        <v>74</v>
      </c>
      <c r="E705" t="s">
        <v>74</v>
      </c>
      <c r="F705" t="s">
        <v>11125</v>
      </c>
      <c r="G705" t="s">
        <v>74</v>
      </c>
      <c r="H705" t="s">
        <v>74</v>
      </c>
      <c r="I705" t="s">
        <v>11126</v>
      </c>
      <c r="J705" t="s">
        <v>11127</v>
      </c>
      <c r="K705" t="s">
        <v>74</v>
      </c>
      <c r="L705" t="s">
        <v>74</v>
      </c>
      <c r="M705" t="s">
        <v>78</v>
      </c>
      <c r="N705" t="s">
        <v>79</v>
      </c>
      <c r="O705" t="s">
        <v>74</v>
      </c>
      <c r="P705" t="s">
        <v>74</v>
      </c>
      <c r="Q705" t="s">
        <v>74</v>
      </c>
      <c r="R705" t="s">
        <v>74</v>
      </c>
      <c r="S705" t="s">
        <v>74</v>
      </c>
      <c r="T705" t="s">
        <v>11128</v>
      </c>
      <c r="U705" t="s">
        <v>11129</v>
      </c>
      <c r="V705" t="s">
        <v>11130</v>
      </c>
      <c r="W705" t="s">
        <v>11131</v>
      </c>
      <c r="X705" t="s">
        <v>11132</v>
      </c>
      <c r="Y705" t="s">
        <v>11133</v>
      </c>
      <c r="Z705" t="s">
        <v>11134</v>
      </c>
      <c r="AA705" t="s">
        <v>11135</v>
      </c>
      <c r="AB705" t="s">
        <v>11136</v>
      </c>
      <c r="AC705" t="s">
        <v>74</v>
      </c>
      <c r="AD705" t="s">
        <v>74</v>
      </c>
      <c r="AE705" t="s">
        <v>74</v>
      </c>
      <c r="AF705" t="s">
        <v>74</v>
      </c>
      <c r="AG705">
        <v>46</v>
      </c>
      <c r="AH705">
        <v>47</v>
      </c>
      <c r="AI705">
        <v>61</v>
      </c>
      <c r="AJ705">
        <v>0</v>
      </c>
      <c r="AK705">
        <v>26</v>
      </c>
      <c r="AL705" t="s">
        <v>613</v>
      </c>
      <c r="AM705" t="s">
        <v>678</v>
      </c>
      <c r="AN705" t="s">
        <v>679</v>
      </c>
      <c r="AO705" t="s">
        <v>11137</v>
      </c>
      <c r="AP705" t="s">
        <v>11138</v>
      </c>
      <c r="AQ705" t="s">
        <v>74</v>
      </c>
      <c r="AR705" t="s">
        <v>11139</v>
      </c>
      <c r="AS705" t="s">
        <v>11140</v>
      </c>
      <c r="AT705" t="s">
        <v>10540</v>
      </c>
      <c r="AU705">
        <v>2006</v>
      </c>
      <c r="AV705">
        <v>8</v>
      </c>
      <c r="AW705">
        <v>6</v>
      </c>
      <c r="AX705" t="s">
        <v>74</v>
      </c>
      <c r="AY705" t="s">
        <v>74</v>
      </c>
      <c r="AZ705" t="s">
        <v>74</v>
      </c>
      <c r="BA705" t="s">
        <v>74</v>
      </c>
      <c r="BB705">
        <v>686</v>
      </c>
      <c r="BC705">
        <v>696</v>
      </c>
      <c r="BD705" t="s">
        <v>74</v>
      </c>
      <c r="BE705" t="s">
        <v>11141</v>
      </c>
      <c r="BF705" t="str">
        <f>HYPERLINK("http://dx.doi.org/10.1007/s10126-005-6088-8","http://dx.doi.org/10.1007/s10126-005-6088-8")</f>
        <v>http://dx.doi.org/10.1007/s10126-005-6088-8</v>
      </c>
      <c r="BG705" t="s">
        <v>74</v>
      </c>
      <c r="BH705" t="s">
        <v>74</v>
      </c>
      <c r="BI705">
        <v>11</v>
      </c>
      <c r="BJ705" t="s">
        <v>8923</v>
      </c>
      <c r="BK705" t="s">
        <v>97</v>
      </c>
      <c r="BL705" t="s">
        <v>8923</v>
      </c>
      <c r="BM705" t="s">
        <v>11142</v>
      </c>
      <c r="BN705">
        <v>16924375</v>
      </c>
      <c r="BO705" t="s">
        <v>4307</v>
      </c>
      <c r="BP705" t="s">
        <v>74</v>
      </c>
      <c r="BQ705" t="s">
        <v>74</v>
      </c>
      <c r="BR705" t="s">
        <v>100</v>
      </c>
      <c r="BS705" t="s">
        <v>11143</v>
      </c>
      <c r="BT705" t="str">
        <f>HYPERLINK("https%3A%2F%2Fwww.webofscience.com%2Fwos%2Fwoscc%2Ffull-record%2FWOS:000243193200012","View Full Record in Web of Science")</f>
        <v>View Full Record in Web of Science</v>
      </c>
    </row>
    <row r="706" spans="1:72" x14ac:dyDescent="0.15">
      <c r="A706" t="s">
        <v>72</v>
      </c>
      <c r="B706" t="s">
        <v>11144</v>
      </c>
      <c r="C706" t="s">
        <v>74</v>
      </c>
      <c r="D706" t="s">
        <v>74</v>
      </c>
      <c r="E706" t="s">
        <v>74</v>
      </c>
      <c r="F706" t="s">
        <v>11145</v>
      </c>
      <c r="G706" t="s">
        <v>74</v>
      </c>
      <c r="H706" t="s">
        <v>74</v>
      </c>
      <c r="I706" t="s">
        <v>11146</v>
      </c>
      <c r="J706" t="s">
        <v>9131</v>
      </c>
      <c r="K706" t="s">
        <v>74</v>
      </c>
      <c r="L706" t="s">
        <v>74</v>
      </c>
      <c r="M706" t="s">
        <v>78</v>
      </c>
      <c r="N706" t="s">
        <v>79</v>
      </c>
      <c r="O706" t="s">
        <v>74</v>
      </c>
      <c r="P706" t="s">
        <v>74</v>
      </c>
      <c r="Q706" t="s">
        <v>74</v>
      </c>
      <c r="R706" t="s">
        <v>74</v>
      </c>
      <c r="S706" t="s">
        <v>74</v>
      </c>
      <c r="T706" t="s">
        <v>11147</v>
      </c>
      <c r="U706" t="s">
        <v>11148</v>
      </c>
      <c r="V706" t="s">
        <v>11149</v>
      </c>
      <c r="W706" t="s">
        <v>11150</v>
      </c>
      <c r="X706" t="s">
        <v>11132</v>
      </c>
      <c r="Y706" t="s">
        <v>11151</v>
      </c>
      <c r="Z706" t="s">
        <v>11152</v>
      </c>
      <c r="AA706" t="s">
        <v>11153</v>
      </c>
      <c r="AB706" t="s">
        <v>11154</v>
      </c>
      <c r="AC706" t="s">
        <v>74</v>
      </c>
      <c r="AD706" t="s">
        <v>74</v>
      </c>
      <c r="AE706" t="s">
        <v>74</v>
      </c>
      <c r="AF706" t="s">
        <v>74</v>
      </c>
      <c r="AG706">
        <v>27</v>
      </c>
      <c r="AH706">
        <v>26</v>
      </c>
      <c r="AI706">
        <v>26</v>
      </c>
      <c r="AJ706">
        <v>1</v>
      </c>
      <c r="AK706">
        <v>9</v>
      </c>
      <c r="AL706" t="s">
        <v>817</v>
      </c>
      <c r="AM706" t="s">
        <v>818</v>
      </c>
      <c r="AN706" t="s">
        <v>819</v>
      </c>
      <c r="AO706" t="s">
        <v>9132</v>
      </c>
      <c r="AP706" t="s">
        <v>9133</v>
      </c>
      <c r="AQ706" t="s">
        <v>74</v>
      </c>
      <c r="AR706" t="s">
        <v>9134</v>
      </c>
      <c r="AS706" t="s">
        <v>9135</v>
      </c>
      <c r="AT706" t="s">
        <v>10218</v>
      </c>
      <c r="AU706">
        <v>2006</v>
      </c>
      <c r="AV706">
        <v>52</v>
      </c>
      <c r="AW706">
        <v>11</v>
      </c>
      <c r="AX706" t="s">
        <v>74</v>
      </c>
      <c r="AY706" t="s">
        <v>74</v>
      </c>
      <c r="AZ706" t="s">
        <v>74</v>
      </c>
      <c r="BA706" t="s">
        <v>74</v>
      </c>
      <c r="BB706">
        <v>1441</v>
      </c>
      <c r="BC706">
        <v>1449</v>
      </c>
      <c r="BD706" t="s">
        <v>74</v>
      </c>
      <c r="BE706" t="s">
        <v>11155</v>
      </c>
      <c r="BF706" t="str">
        <f>HYPERLINK("http://dx.doi.org/10.1016/j.marpolbul.2006.04.012","http://dx.doi.org/10.1016/j.marpolbul.2006.04.012")</f>
        <v>http://dx.doi.org/10.1016/j.marpolbul.2006.04.012</v>
      </c>
      <c r="BG706" t="s">
        <v>74</v>
      </c>
      <c r="BH706" t="s">
        <v>74</v>
      </c>
      <c r="BI706">
        <v>9</v>
      </c>
      <c r="BJ706" t="s">
        <v>9136</v>
      </c>
      <c r="BK706" t="s">
        <v>97</v>
      </c>
      <c r="BL706" t="s">
        <v>198</v>
      </c>
      <c r="BM706" t="s">
        <v>11156</v>
      </c>
      <c r="BN706">
        <v>16782136</v>
      </c>
      <c r="BO706" t="s">
        <v>11157</v>
      </c>
      <c r="BP706" t="s">
        <v>74</v>
      </c>
      <c r="BQ706" t="s">
        <v>74</v>
      </c>
      <c r="BR706" t="s">
        <v>100</v>
      </c>
      <c r="BS706" t="s">
        <v>11158</v>
      </c>
      <c r="BT706" t="str">
        <f>HYPERLINK("https%3A%2F%2Fwww.webofscience.com%2Fwos%2Fwoscc%2Ffull-record%2FWOS:000242512100025","View Full Record in Web of Science")</f>
        <v>View Full Record in Web of Science</v>
      </c>
    </row>
    <row r="707" spans="1:72" x14ac:dyDescent="0.15">
      <c r="A707" t="s">
        <v>72</v>
      </c>
      <c r="B707" t="s">
        <v>11159</v>
      </c>
      <c r="C707" t="s">
        <v>74</v>
      </c>
      <c r="D707" t="s">
        <v>74</v>
      </c>
      <c r="E707" t="s">
        <v>74</v>
      </c>
      <c r="F707" t="s">
        <v>11160</v>
      </c>
      <c r="G707" t="s">
        <v>74</v>
      </c>
      <c r="H707" t="s">
        <v>74</v>
      </c>
      <c r="I707" t="s">
        <v>11161</v>
      </c>
      <c r="J707" t="s">
        <v>4924</v>
      </c>
      <c r="K707" t="s">
        <v>74</v>
      </c>
      <c r="L707" t="s">
        <v>74</v>
      </c>
      <c r="M707" t="s">
        <v>78</v>
      </c>
      <c r="N707" t="s">
        <v>79</v>
      </c>
      <c r="O707" t="s">
        <v>74</v>
      </c>
      <c r="P707" t="s">
        <v>74</v>
      </c>
      <c r="Q707" t="s">
        <v>74</v>
      </c>
      <c r="R707" t="s">
        <v>74</v>
      </c>
      <c r="S707" t="s">
        <v>74</v>
      </c>
      <c r="T707" t="s">
        <v>74</v>
      </c>
      <c r="U707" t="s">
        <v>11162</v>
      </c>
      <c r="V707" t="s">
        <v>11163</v>
      </c>
      <c r="W707" t="s">
        <v>9318</v>
      </c>
      <c r="X707" t="s">
        <v>11164</v>
      </c>
      <c r="Y707" t="s">
        <v>11165</v>
      </c>
      <c r="Z707" t="s">
        <v>11166</v>
      </c>
      <c r="AA707" t="s">
        <v>11167</v>
      </c>
      <c r="AB707" t="s">
        <v>11168</v>
      </c>
      <c r="AC707" t="s">
        <v>74</v>
      </c>
      <c r="AD707" t="s">
        <v>74</v>
      </c>
      <c r="AE707" t="s">
        <v>74</v>
      </c>
      <c r="AF707" t="s">
        <v>74</v>
      </c>
      <c r="AG707">
        <v>47</v>
      </c>
      <c r="AH707">
        <v>116</v>
      </c>
      <c r="AI707">
        <v>134</v>
      </c>
      <c r="AJ707">
        <v>2</v>
      </c>
      <c r="AK707">
        <v>62</v>
      </c>
      <c r="AL707" t="s">
        <v>613</v>
      </c>
      <c r="AM707" t="s">
        <v>678</v>
      </c>
      <c r="AN707" t="s">
        <v>4336</v>
      </c>
      <c r="AO707" t="s">
        <v>4929</v>
      </c>
      <c r="AP707" t="s">
        <v>74</v>
      </c>
      <c r="AQ707" t="s">
        <v>74</v>
      </c>
      <c r="AR707" t="s">
        <v>4931</v>
      </c>
      <c r="AS707" t="s">
        <v>4932</v>
      </c>
      <c r="AT707" t="s">
        <v>10218</v>
      </c>
      <c r="AU707">
        <v>2006</v>
      </c>
      <c r="AV707">
        <v>52</v>
      </c>
      <c r="AW707">
        <v>4</v>
      </c>
      <c r="AX707" t="s">
        <v>74</v>
      </c>
      <c r="AY707" t="s">
        <v>74</v>
      </c>
      <c r="AZ707" t="s">
        <v>74</v>
      </c>
      <c r="BA707" t="s">
        <v>74</v>
      </c>
      <c r="BB707">
        <v>644</v>
      </c>
      <c r="BC707">
        <v>654</v>
      </c>
      <c r="BD707" t="s">
        <v>74</v>
      </c>
      <c r="BE707" t="s">
        <v>11169</v>
      </c>
      <c r="BF707" t="str">
        <f>HYPERLINK("http://dx.doi.org/10.1007/s00248-006-9083-3","http://dx.doi.org/10.1007/s00248-006-9083-3")</f>
        <v>http://dx.doi.org/10.1007/s00248-006-9083-3</v>
      </c>
      <c r="BG707" t="s">
        <v>74</v>
      </c>
      <c r="BH707" t="s">
        <v>74</v>
      </c>
      <c r="BI707">
        <v>11</v>
      </c>
      <c r="BJ707" t="s">
        <v>4934</v>
      </c>
      <c r="BK707" t="s">
        <v>97</v>
      </c>
      <c r="BL707" t="s">
        <v>4935</v>
      </c>
      <c r="BM707" t="s">
        <v>11170</v>
      </c>
      <c r="BN707">
        <v>17072679</v>
      </c>
      <c r="BO707" t="s">
        <v>74</v>
      </c>
      <c r="BP707" t="s">
        <v>74</v>
      </c>
      <c r="BQ707" t="s">
        <v>74</v>
      </c>
      <c r="BR707" t="s">
        <v>100</v>
      </c>
      <c r="BS707" t="s">
        <v>11171</v>
      </c>
      <c r="BT707" t="str">
        <f>HYPERLINK("https%3A%2F%2Fwww.webofscience.com%2Fwos%2Fwoscc%2Ffull-record%2FWOS:000242660400006","View Full Record in Web of Science")</f>
        <v>View Full Record in Web of Science</v>
      </c>
    </row>
    <row r="708" spans="1:72" x14ac:dyDescent="0.15">
      <c r="A708" t="s">
        <v>72</v>
      </c>
      <c r="B708" t="s">
        <v>11172</v>
      </c>
      <c r="C708" t="s">
        <v>74</v>
      </c>
      <c r="D708" t="s">
        <v>74</v>
      </c>
      <c r="E708" t="s">
        <v>74</v>
      </c>
      <c r="F708" t="s">
        <v>11173</v>
      </c>
      <c r="G708" t="s">
        <v>74</v>
      </c>
      <c r="H708" t="s">
        <v>74</v>
      </c>
      <c r="I708" t="s">
        <v>11174</v>
      </c>
      <c r="J708" t="s">
        <v>11175</v>
      </c>
      <c r="K708" t="s">
        <v>74</v>
      </c>
      <c r="L708" t="s">
        <v>74</v>
      </c>
      <c r="M708" t="s">
        <v>78</v>
      </c>
      <c r="N708" t="s">
        <v>79</v>
      </c>
      <c r="O708" t="s">
        <v>74</v>
      </c>
      <c r="P708" t="s">
        <v>74</v>
      </c>
      <c r="Q708" t="s">
        <v>74</v>
      </c>
      <c r="R708" t="s">
        <v>74</v>
      </c>
      <c r="S708" t="s">
        <v>74</v>
      </c>
      <c r="T708" t="s">
        <v>11176</v>
      </c>
      <c r="U708" t="s">
        <v>11177</v>
      </c>
      <c r="V708" t="s">
        <v>11178</v>
      </c>
      <c r="W708" t="s">
        <v>11179</v>
      </c>
      <c r="X708" t="s">
        <v>11180</v>
      </c>
      <c r="Y708" t="s">
        <v>11181</v>
      </c>
      <c r="Z708" t="s">
        <v>11182</v>
      </c>
      <c r="AA708" t="s">
        <v>11183</v>
      </c>
      <c r="AB708" t="s">
        <v>11184</v>
      </c>
      <c r="AC708" t="s">
        <v>74</v>
      </c>
      <c r="AD708" t="s">
        <v>74</v>
      </c>
      <c r="AE708" t="s">
        <v>74</v>
      </c>
      <c r="AF708" t="s">
        <v>74</v>
      </c>
      <c r="AG708">
        <v>52</v>
      </c>
      <c r="AH708">
        <v>69</v>
      </c>
      <c r="AI708">
        <v>80</v>
      </c>
      <c r="AJ708">
        <v>0</v>
      </c>
      <c r="AK708">
        <v>27</v>
      </c>
      <c r="AL708" t="s">
        <v>2467</v>
      </c>
      <c r="AM708" t="s">
        <v>818</v>
      </c>
      <c r="AN708" t="s">
        <v>2468</v>
      </c>
      <c r="AO708" t="s">
        <v>11185</v>
      </c>
      <c r="AP708" t="s">
        <v>11186</v>
      </c>
      <c r="AQ708" t="s">
        <v>74</v>
      </c>
      <c r="AR708" t="s">
        <v>11187</v>
      </c>
      <c r="AS708" t="s">
        <v>11188</v>
      </c>
      <c r="AT708" t="s">
        <v>10218</v>
      </c>
      <c r="AU708">
        <v>2006</v>
      </c>
      <c r="AV708">
        <v>23</v>
      </c>
      <c r="AW708">
        <v>11</v>
      </c>
      <c r="AX708" t="s">
        <v>74</v>
      </c>
      <c r="AY708" t="s">
        <v>74</v>
      </c>
      <c r="AZ708" t="s">
        <v>74</v>
      </c>
      <c r="BA708" t="s">
        <v>74</v>
      </c>
      <c r="BB708">
        <v>2008</v>
      </c>
      <c r="BC708">
        <v>2016</v>
      </c>
      <c r="BD708" t="s">
        <v>74</v>
      </c>
      <c r="BE708" t="s">
        <v>11189</v>
      </c>
      <c r="BF708" t="str">
        <f>HYPERLINK("http://dx.doi.org/10.1093/molbev/msl071","http://dx.doi.org/10.1093/molbev/msl071")</f>
        <v>http://dx.doi.org/10.1093/molbev/msl071</v>
      </c>
      <c r="BG708" t="s">
        <v>74</v>
      </c>
      <c r="BH708" t="s">
        <v>74</v>
      </c>
      <c r="BI708">
        <v>9</v>
      </c>
      <c r="BJ708" t="s">
        <v>11190</v>
      </c>
      <c r="BK708" t="s">
        <v>97</v>
      </c>
      <c r="BL708" t="s">
        <v>11190</v>
      </c>
      <c r="BM708" t="s">
        <v>11191</v>
      </c>
      <c r="BN708">
        <v>16870682</v>
      </c>
      <c r="BO708" t="s">
        <v>74</v>
      </c>
      <c r="BP708" t="s">
        <v>74</v>
      </c>
      <c r="BQ708" t="s">
        <v>74</v>
      </c>
      <c r="BR708" t="s">
        <v>100</v>
      </c>
      <c r="BS708" t="s">
        <v>11192</v>
      </c>
      <c r="BT708" t="str">
        <f>HYPERLINK("https%3A%2F%2Fwww.webofscience.com%2Fwos%2Fwoscc%2Ffull-record%2FWOS:000241094700004","View Full Record in Web of Science")</f>
        <v>View Full Record in Web of Science</v>
      </c>
    </row>
    <row r="709" spans="1:72" x14ac:dyDescent="0.15">
      <c r="A709" t="s">
        <v>72</v>
      </c>
      <c r="B709" t="s">
        <v>11193</v>
      </c>
      <c r="C709" t="s">
        <v>74</v>
      </c>
      <c r="D709" t="s">
        <v>74</v>
      </c>
      <c r="E709" t="s">
        <v>74</v>
      </c>
      <c r="F709" t="s">
        <v>11194</v>
      </c>
      <c r="G709" t="s">
        <v>74</v>
      </c>
      <c r="H709" t="s">
        <v>74</v>
      </c>
      <c r="I709" t="s">
        <v>11195</v>
      </c>
      <c r="J709" t="s">
        <v>11196</v>
      </c>
      <c r="K709" t="s">
        <v>74</v>
      </c>
      <c r="L709" t="s">
        <v>74</v>
      </c>
      <c r="M709" t="s">
        <v>78</v>
      </c>
      <c r="N709" t="s">
        <v>79</v>
      </c>
      <c r="O709" t="s">
        <v>74</v>
      </c>
      <c r="P709" t="s">
        <v>74</v>
      </c>
      <c r="Q709" t="s">
        <v>74</v>
      </c>
      <c r="R709" t="s">
        <v>74</v>
      </c>
      <c r="S709" t="s">
        <v>74</v>
      </c>
      <c r="T709" t="s">
        <v>11197</v>
      </c>
      <c r="U709" t="s">
        <v>11198</v>
      </c>
      <c r="V709" t="s">
        <v>11199</v>
      </c>
      <c r="W709" t="s">
        <v>11200</v>
      </c>
      <c r="X709" t="s">
        <v>11201</v>
      </c>
      <c r="Y709" t="s">
        <v>11202</v>
      </c>
      <c r="Z709" t="s">
        <v>11203</v>
      </c>
      <c r="AA709" t="s">
        <v>11204</v>
      </c>
      <c r="AB709" t="s">
        <v>11205</v>
      </c>
      <c r="AC709" t="s">
        <v>74</v>
      </c>
      <c r="AD709" t="s">
        <v>74</v>
      </c>
      <c r="AE709" t="s">
        <v>74</v>
      </c>
      <c r="AF709" t="s">
        <v>74</v>
      </c>
      <c r="AG709">
        <v>63</v>
      </c>
      <c r="AH709">
        <v>182</v>
      </c>
      <c r="AI709">
        <v>258</v>
      </c>
      <c r="AJ709">
        <v>6</v>
      </c>
      <c r="AK709">
        <v>179</v>
      </c>
      <c r="AL709" t="s">
        <v>10638</v>
      </c>
      <c r="AM709" t="s">
        <v>6911</v>
      </c>
      <c r="AN709" t="s">
        <v>10639</v>
      </c>
      <c r="AO709" t="s">
        <v>11206</v>
      </c>
      <c r="AP709" t="s">
        <v>11207</v>
      </c>
      <c r="AQ709" t="s">
        <v>74</v>
      </c>
      <c r="AR709" t="s">
        <v>11208</v>
      </c>
      <c r="AS709" t="s">
        <v>11209</v>
      </c>
      <c r="AT709" t="s">
        <v>10218</v>
      </c>
      <c r="AU709">
        <v>2006</v>
      </c>
      <c r="AV709">
        <v>41</v>
      </c>
      <c r="AW709">
        <v>2</v>
      </c>
      <c r="AX709" t="s">
        <v>74</v>
      </c>
      <c r="AY709" t="s">
        <v>74</v>
      </c>
      <c r="AZ709" t="s">
        <v>74</v>
      </c>
      <c r="BA709" t="s">
        <v>74</v>
      </c>
      <c r="BB709">
        <v>345</v>
      </c>
      <c r="BC709">
        <v>354</v>
      </c>
      <c r="BD709" t="s">
        <v>74</v>
      </c>
      <c r="BE709" t="s">
        <v>11210</v>
      </c>
      <c r="BF709" t="str">
        <f>HYPERLINK("http://dx.doi.org/10.1016/j.ympev.2006.05.022","http://dx.doi.org/10.1016/j.ympev.2006.05.022")</f>
        <v>http://dx.doi.org/10.1016/j.ympev.2006.05.022</v>
      </c>
      <c r="BG709" t="s">
        <v>74</v>
      </c>
      <c r="BH709" t="s">
        <v>74</v>
      </c>
      <c r="BI709">
        <v>10</v>
      </c>
      <c r="BJ709" t="s">
        <v>11190</v>
      </c>
      <c r="BK709" t="s">
        <v>97</v>
      </c>
      <c r="BL709" t="s">
        <v>11190</v>
      </c>
      <c r="BM709" t="s">
        <v>11211</v>
      </c>
      <c r="BN709">
        <v>16815048</v>
      </c>
      <c r="BO709" t="s">
        <v>74</v>
      </c>
      <c r="BP709" t="s">
        <v>74</v>
      </c>
      <c r="BQ709" t="s">
        <v>74</v>
      </c>
      <c r="BR709" t="s">
        <v>100</v>
      </c>
      <c r="BS709" t="s">
        <v>11212</v>
      </c>
      <c r="BT709" t="str">
        <f>HYPERLINK("https%3A%2F%2Fwww.webofscience.com%2Fwos%2Fwoscc%2Ffull-record%2FWOS:000241460000009","View Full Record in Web of Science")</f>
        <v>View Full Record in Web of Science</v>
      </c>
    </row>
    <row r="710" spans="1:72" x14ac:dyDescent="0.15">
      <c r="A710" t="s">
        <v>72</v>
      </c>
      <c r="B710" t="s">
        <v>11213</v>
      </c>
      <c r="C710" t="s">
        <v>74</v>
      </c>
      <c r="D710" t="s">
        <v>74</v>
      </c>
      <c r="E710" t="s">
        <v>74</v>
      </c>
      <c r="F710" t="s">
        <v>11214</v>
      </c>
      <c r="G710" t="s">
        <v>74</v>
      </c>
      <c r="H710" t="s">
        <v>74</v>
      </c>
      <c r="I710" t="s">
        <v>11215</v>
      </c>
      <c r="J710" t="s">
        <v>11216</v>
      </c>
      <c r="K710" t="s">
        <v>74</v>
      </c>
      <c r="L710" t="s">
        <v>74</v>
      </c>
      <c r="M710" t="s">
        <v>78</v>
      </c>
      <c r="N710" t="s">
        <v>79</v>
      </c>
      <c r="O710" t="s">
        <v>74</v>
      </c>
      <c r="P710" t="s">
        <v>74</v>
      </c>
      <c r="Q710" t="s">
        <v>74</v>
      </c>
      <c r="R710" t="s">
        <v>74</v>
      </c>
      <c r="S710" t="s">
        <v>74</v>
      </c>
      <c r="T710" t="s">
        <v>11217</v>
      </c>
      <c r="U710" t="s">
        <v>11218</v>
      </c>
      <c r="V710" t="s">
        <v>11219</v>
      </c>
      <c r="W710" t="s">
        <v>11220</v>
      </c>
      <c r="X710" t="s">
        <v>11221</v>
      </c>
      <c r="Y710" t="s">
        <v>11222</v>
      </c>
      <c r="Z710" t="s">
        <v>11223</v>
      </c>
      <c r="AA710" t="s">
        <v>11224</v>
      </c>
      <c r="AB710" t="s">
        <v>11225</v>
      </c>
      <c r="AC710" t="s">
        <v>74</v>
      </c>
      <c r="AD710" t="s">
        <v>74</v>
      </c>
      <c r="AE710" t="s">
        <v>74</v>
      </c>
      <c r="AF710" t="s">
        <v>74</v>
      </c>
      <c r="AG710">
        <v>35</v>
      </c>
      <c r="AH710">
        <v>14</v>
      </c>
      <c r="AI710">
        <v>17</v>
      </c>
      <c r="AJ710">
        <v>1</v>
      </c>
      <c r="AK710">
        <v>22</v>
      </c>
      <c r="AL710" t="s">
        <v>11226</v>
      </c>
      <c r="AM710" t="s">
        <v>160</v>
      </c>
      <c r="AN710" t="s">
        <v>11227</v>
      </c>
      <c r="AO710" t="s">
        <v>11228</v>
      </c>
      <c r="AP710" t="s">
        <v>74</v>
      </c>
      <c r="AQ710" t="s">
        <v>74</v>
      </c>
      <c r="AR710" t="s">
        <v>11229</v>
      </c>
      <c r="AS710" t="s">
        <v>11230</v>
      </c>
      <c r="AT710" t="s">
        <v>10218</v>
      </c>
      <c r="AU710">
        <v>2006</v>
      </c>
      <c r="AV710">
        <v>73</v>
      </c>
      <c r="AW710">
        <v>11</v>
      </c>
      <c r="AX710" t="s">
        <v>74</v>
      </c>
      <c r="AY710" t="s">
        <v>74</v>
      </c>
      <c r="AZ710" t="s">
        <v>74</v>
      </c>
      <c r="BA710" t="s">
        <v>74</v>
      </c>
      <c r="BB710">
        <v>1404</v>
      </c>
      <c r="BC710">
        <v>1411</v>
      </c>
      <c r="BD710" t="s">
        <v>74</v>
      </c>
      <c r="BE710" t="s">
        <v>11231</v>
      </c>
      <c r="BF710" t="str">
        <f>HYPERLINK("http://dx.doi.org/10.1002/mrd.20601","http://dx.doi.org/10.1002/mrd.20601")</f>
        <v>http://dx.doi.org/10.1002/mrd.20601</v>
      </c>
      <c r="BG710" t="s">
        <v>74</v>
      </c>
      <c r="BH710" t="s">
        <v>74</v>
      </c>
      <c r="BI710">
        <v>8</v>
      </c>
      <c r="BJ710" t="s">
        <v>11232</v>
      </c>
      <c r="BK710" t="s">
        <v>97</v>
      </c>
      <c r="BL710" t="s">
        <v>11232</v>
      </c>
      <c r="BM710" t="s">
        <v>11233</v>
      </c>
      <c r="BN710">
        <v>16894545</v>
      </c>
      <c r="BO710" t="s">
        <v>74</v>
      </c>
      <c r="BP710" t="s">
        <v>74</v>
      </c>
      <c r="BQ710" t="s">
        <v>74</v>
      </c>
      <c r="BR710" t="s">
        <v>100</v>
      </c>
      <c r="BS710" t="s">
        <v>11234</v>
      </c>
      <c r="BT710" t="str">
        <f>HYPERLINK("https%3A%2F%2Fwww.webofscience.com%2Fwos%2Fwoscc%2Ffull-record%2FWOS:000240661900007","View Full Record in Web of Science")</f>
        <v>View Full Record in Web of Science</v>
      </c>
    </row>
    <row r="711" spans="1:72" x14ac:dyDescent="0.15">
      <c r="A711" t="s">
        <v>72</v>
      </c>
      <c r="B711" t="s">
        <v>11235</v>
      </c>
      <c r="C711" t="s">
        <v>74</v>
      </c>
      <c r="D711" t="s">
        <v>74</v>
      </c>
      <c r="E711" t="s">
        <v>74</v>
      </c>
      <c r="F711" t="s">
        <v>11236</v>
      </c>
      <c r="G711" t="s">
        <v>74</v>
      </c>
      <c r="H711" t="s">
        <v>74</v>
      </c>
      <c r="I711" t="s">
        <v>11237</v>
      </c>
      <c r="J711" t="s">
        <v>11238</v>
      </c>
      <c r="K711" t="s">
        <v>74</v>
      </c>
      <c r="L711" t="s">
        <v>74</v>
      </c>
      <c r="M711" t="s">
        <v>78</v>
      </c>
      <c r="N711" t="s">
        <v>79</v>
      </c>
      <c r="O711" t="s">
        <v>74</v>
      </c>
      <c r="P711" t="s">
        <v>74</v>
      </c>
      <c r="Q711" t="s">
        <v>74</v>
      </c>
      <c r="R711" t="s">
        <v>74</v>
      </c>
      <c r="S711" t="s">
        <v>74</v>
      </c>
      <c r="T711" t="s">
        <v>74</v>
      </c>
      <c r="U711" t="s">
        <v>11239</v>
      </c>
      <c r="V711" t="s">
        <v>11240</v>
      </c>
      <c r="W711" t="s">
        <v>11241</v>
      </c>
      <c r="X711" t="s">
        <v>11242</v>
      </c>
      <c r="Y711" t="s">
        <v>11243</v>
      </c>
      <c r="Z711" t="s">
        <v>11244</v>
      </c>
      <c r="AA711" t="s">
        <v>11245</v>
      </c>
      <c r="AB711" t="s">
        <v>11246</v>
      </c>
      <c r="AC711" t="s">
        <v>74</v>
      </c>
      <c r="AD711" t="s">
        <v>74</v>
      </c>
      <c r="AE711" t="s">
        <v>74</v>
      </c>
      <c r="AF711" t="s">
        <v>74</v>
      </c>
      <c r="AG711">
        <v>24</v>
      </c>
      <c r="AH711">
        <v>34</v>
      </c>
      <c r="AI711">
        <v>39</v>
      </c>
      <c r="AJ711">
        <v>2</v>
      </c>
      <c r="AK711">
        <v>12</v>
      </c>
      <c r="AL711" t="s">
        <v>4064</v>
      </c>
      <c r="AM711" t="s">
        <v>4065</v>
      </c>
      <c r="AN711" t="s">
        <v>4097</v>
      </c>
      <c r="AO711" t="s">
        <v>11247</v>
      </c>
      <c r="AP711" t="s">
        <v>74</v>
      </c>
      <c r="AQ711" t="s">
        <v>74</v>
      </c>
      <c r="AR711" t="s">
        <v>11248</v>
      </c>
      <c r="AS711" t="s">
        <v>11249</v>
      </c>
      <c r="AT711" t="s">
        <v>10218</v>
      </c>
      <c r="AU711">
        <v>2006</v>
      </c>
      <c r="AV711">
        <v>134</v>
      </c>
      <c r="AW711">
        <v>11</v>
      </c>
      <c r="AX711" t="s">
        <v>74</v>
      </c>
      <c r="AY711" t="s">
        <v>74</v>
      </c>
      <c r="AZ711" t="s">
        <v>74</v>
      </c>
      <c r="BA711" t="s">
        <v>74</v>
      </c>
      <c r="BB711">
        <v>3283</v>
      </c>
      <c r="BC711">
        <v>3296</v>
      </c>
      <c r="BD711" t="s">
        <v>74</v>
      </c>
      <c r="BE711" t="s">
        <v>11250</v>
      </c>
      <c r="BF711" t="str">
        <f>HYPERLINK("http://dx.doi.org/10.1175/MWR3241.1","http://dx.doi.org/10.1175/MWR3241.1")</f>
        <v>http://dx.doi.org/10.1175/MWR3241.1</v>
      </c>
      <c r="BG711" t="s">
        <v>74</v>
      </c>
      <c r="BH711" t="s">
        <v>74</v>
      </c>
      <c r="BI711">
        <v>14</v>
      </c>
      <c r="BJ711" t="s">
        <v>3208</v>
      </c>
      <c r="BK711" t="s">
        <v>97</v>
      </c>
      <c r="BL711" t="s">
        <v>3208</v>
      </c>
      <c r="BM711" t="s">
        <v>11251</v>
      </c>
      <c r="BN711" t="s">
        <v>74</v>
      </c>
      <c r="BO711" t="s">
        <v>2155</v>
      </c>
      <c r="BP711" t="s">
        <v>74</v>
      </c>
      <c r="BQ711" t="s">
        <v>74</v>
      </c>
      <c r="BR711" t="s">
        <v>100</v>
      </c>
      <c r="BS711" t="s">
        <v>11252</v>
      </c>
      <c r="BT711" t="str">
        <f>HYPERLINK("https%3A%2F%2Fwww.webofscience.com%2Fwos%2Fwoscc%2Ffull-record%2FWOS:000242291600014","View Full Record in Web of Science")</f>
        <v>View Full Record in Web of Science</v>
      </c>
    </row>
    <row r="712" spans="1:72" x14ac:dyDescent="0.15">
      <c r="A712" t="s">
        <v>72</v>
      </c>
      <c r="B712" t="s">
        <v>11253</v>
      </c>
      <c r="C712" t="s">
        <v>74</v>
      </c>
      <c r="D712" t="s">
        <v>74</v>
      </c>
      <c r="E712" t="s">
        <v>74</v>
      </c>
      <c r="F712" t="s">
        <v>11254</v>
      </c>
      <c r="G712" t="s">
        <v>74</v>
      </c>
      <c r="H712" t="s">
        <v>74</v>
      </c>
      <c r="I712" t="s">
        <v>11255</v>
      </c>
      <c r="J712" t="s">
        <v>11256</v>
      </c>
      <c r="K712" t="s">
        <v>74</v>
      </c>
      <c r="L712" t="s">
        <v>74</v>
      </c>
      <c r="M712" t="s">
        <v>78</v>
      </c>
      <c r="N712" t="s">
        <v>79</v>
      </c>
      <c r="O712" t="s">
        <v>74</v>
      </c>
      <c r="P712" t="s">
        <v>74</v>
      </c>
      <c r="Q712" t="s">
        <v>74</v>
      </c>
      <c r="R712" t="s">
        <v>74</v>
      </c>
      <c r="S712" t="s">
        <v>74</v>
      </c>
      <c r="T712" t="s">
        <v>11257</v>
      </c>
      <c r="U712" t="s">
        <v>11258</v>
      </c>
      <c r="V712" t="s">
        <v>11259</v>
      </c>
      <c r="W712" t="s">
        <v>11260</v>
      </c>
      <c r="X712" t="s">
        <v>11261</v>
      </c>
      <c r="Y712" t="s">
        <v>11262</v>
      </c>
      <c r="Z712" t="s">
        <v>11263</v>
      </c>
      <c r="AA712" t="s">
        <v>11264</v>
      </c>
      <c r="AB712" t="s">
        <v>11265</v>
      </c>
      <c r="AC712" t="s">
        <v>74</v>
      </c>
      <c r="AD712" t="s">
        <v>74</v>
      </c>
      <c r="AE712" t="s">
        <v>74</v>
      </c>
      <c r="AF712" t="s">
        <v>74</v>
      </c>
      <c r="AG712">
        <v>56</v>
      </c>
      <c r="AH712">
        <v>34</v>
      </c>
      <c r="AI712">
        <v>37</v>
      </c>
      <c r="AJ712">
        <v>2</v>
      </c>
      <c r="AK712">
        <v>18</v>
      </c>
      <c r="AL712" t="s">
        <v>3389</v>
      </c>
      <c r="AM712" t="s">
        <v>818</v>
      </c>
      <c r="AN712" t="s">
        <v>3390</v>
      </c>
      <c r="AO712" t="s">
        <v>11266</v>
      </c>
      <c r="AP712" t="s">
        <v>74</v>
      </c>
      <c r="AQ712" t="s">
        <v>74</v>
      </c>
      <c r="AR712" t="s">
        <v>11267</v>
      </c>
      <c r="AS712" t="s">
        <v>11268</v>
      </c>
      <c r="AT712" t="s">
        <v>10218</v>
      </c>
      <c r="AU712">
        <v>2006</v>
      </c>
      <c r="AV712">
        <v>110</v>
      </c>
      <c r="AW712" t="s">
        <v>74</v>
      </c>
      <c r="AX712">
        <v>11</v>
      </c>
      <c r="AY712" t="s">
        <v>74</v>
      </c>
      <c r="AZ712">
        <v>1255</v>
      </c>
      <c r="BA712" t="s">
        <v>74</v>
      </c>
      <c r="BB712">
        <v>1347</v>
      </c>
      <c r="BC712">
        <v>1354</v>
      </c>
      <c r="BD712" t="s">
        <v>74</v>
      </c>
      <c r="BE712" t="s">
        <v>11269</v>
      </c>
      <c r="BF712" t="str">
        <f>HYPERLINK("http://dx.doi.org/10.1016/j.mycres.2006.08.007","http://dx.doi.org/10.1016/j.mycres.2006.08.007")</f>
        <v>http://dx.doi.org/10.1016/j.mycres.2006.08.007</v>
      </c>
      <c r="BG712" t="s">
        <v>74</v>
      </c>
      <c r="BH712" t="s">
        <v>74</v>
      </c>
      <c r="BI712">
        <v>8</v>
      </c>
      <c r="BJ712" t="s">
        <v>11270</v>
      </c>
      <c r="BK712" t="s">
        <v>97</v>
      </c>
      <c r="BL712" t="s">
        <v>11270</v>
      </c>
      <c r="BM712" t="s">
        <v>11271</v>
      </c>
      <c r="BN712">
        <v>17070679</v>
      </c>
      <c r="BO712" t="s">
        <v>74</v>
      </c>
      <c r="BP712" t="s">
        <v>74</v>
      </c>
      <c r="BQ712" t="s">
        <v>74</v>
      </c>
      <c r="BR712" t="s">
        <v>100</v>
      </c>
      <c r="BS712" t="s">
        <v>11272</v>
      </c>
      <c r="BT712" t="str">
        <f>HYPERLINK("https%3A%2F%2Fwww.webofscience.com%2Fwos%2Fwoscc%2Ffull-record%2FWOS:000242786600009","View Full Record in Web of Science")</f>
        <v>View Full Record in Web of Science</v>
      </c>
    </row>
    <row r="713" spans="1:72" x14ac:dyDescent="0.15">
      <c r="A713" t="s">
        <v>72</v>
      </c>
      <c r="B713" t="s">
        <v>11273</v>
      </c>
      <c r="C713" t="s">
        <v>74</v>
      </c>
      <c r="D713" t="s">
        <v>74</v>
      </c>
      <c r="E713" t="s">
        <v>74</v>
      </c>
      <c r="F713" t="s">
        <v>11274</v>
      </c>
      <c r="G713" t="s">
        <v>74</v>
      </c>
      <c r="H713" t="s">
        <v>74</v>
      </c>
      <c r="I713" t="s">
        <v>11275</v>
      </c>
      <c r="J713" t="s">
        <v>11276</v>
      </c>
      <c r="K713" t="s">
        <v>74</v>
      </c>
      <c r="L713" t="s">
        <v>74</v>
      </c>
      <c r="M713" t="s">
        <v>78</v>
      </c>
      <c r="N713" t="s">
        <v>1431</v>
      </c>
      <c r="O713" t="s">
        <v>74</v>
      </c>
      <c r="P713" t="s">
        <v>74</v>
      </c>
      <c r="Q713" t="s">
        <v>74</v>
      </c>
      <c r="R713" t="s">
        <v>74</v>
      </c>
      <c r="S713" t="s">
        <v>74</v>
      </c>
      <c r="T713" t="s">
        <v>74</v>
      </c>
      <c r="U713" t="s">
        <v>11277</v>
      </c>
      <c r="V713" t="s">
        <v>74</v>
      </c>
      <c r="W713" t="s">
        <v>11278</v>
      </c>
      <c r="X713" t="s">
        <v>11279</v>
      </c>
      <c r="Y713" t="s">
        <v>11280</v>
      </c>
      <c r="Z713" t="s">
        <v>11281</v>
      </c>
      <c r="AA713" t="s">
        <v>74</v>
      </c>
      <c r="AB713" t="s">
        <v>74</v>
      </c>
      <c r="AC713" t="s">
        <v>11282</v>
      </c>
      <c r="AD713" t="s">
        <v>11283</v>
      </c>
      <c r="AE713" t="s">
        <v>74</v>
      </c>
      <c r="AF713" t="s">
        <v>74</v>
      </c>
      <c r="AG713">
        <v>6</v>
      </c>
      <c r="AH713">
        <v>0</v>
      </c>
      <c r="AI713">
        <v>0</v>
      </c>
      <c r="AJ713">
        <v>0</v>
      </c>
      <c r="AK713">
        <v>0</v>
      </c>
      <c r="AL713" t="s">
        <v>10638</v>
      </c>
      <c r="AM713" t="s">
        <v>6911</v>
      </c>
      <c r="AN713" t="s">
        <v>10639</v>
      </c>
      <c r="AO713" t="s">
        <v>11284</v>
      </c>
      <c r="AP713" t="s">
        <v>11285</v>
      </c>
      <c r="AQ713" t="s">
        <v>74</v>
      </c>
      <c r="AR713" t="s">
        <v>11286</v>
      </c>
      <c r="AS713" t="s">
        <v>11287</v>
      </c>
      <c r="AT713" t="s">
        <v>10218</v>
      </c>
      <c r="AU713">
        <v>2006</v>
      </c>
      <c r="AV713">
        <v>15</v>
      </c>
      <c r="AW713">
        <v>3</v>
      </c>
      <c r="AX713" t="s">
        <v>74</v>
      </c>
      <c r="AY713" t="s">
        <v>74</v>
      </c>
      <c r="AZ713" t="s">
        <v>74</v>
      </c>
      <c r="BA713" t="s">
        <v>74</v>
      </c>
      <c r="BB713">
        <v>187</v>
      </c>
      <c r="BC713">
        <v>189</v>
      </c>
      <c r="BD713" t="s">
        <v>74</v>
      </c>
      <c r="BE713" t="s">
        <v>11288</v>
      </c>
      <c r="BF713" t="str">
        <f>HYPERLINK("http://dx.doi.org/10.1016/j.niox.2006.06.001","http://dx.doi.org/10.1016/j.niox.2006.06.001")</f>
        <v>http://dx.doi.org/10.1016/j.niox.2006.06.001</v>
      </c>
      <c r="BG713" t="s">
        <v>74</v>
      </c>
      <c r="BH713" t="s">
        <v>74</v>
      </c>
      <c r="BI713">
        <v>3</v>
      </c>
      <c r="BJ713" t="s">
        <v>3289</v>
      </c>
      <c r="BK713" t="s">
        <v>97</v>
      </c>
      <c r="BL713" t="s">
        <v>3289</v>
      </c>
      <c r="BM713" t="s">
        <v>11289</v>
      </c>
      <c r="BN713">
        <v>16919489</v>
      </c>
      <c r="BO713" t="s">
        <v>74</v>
      </c>
      <c r="BP713" t="s">
        <v>74</v>
      </c>
      <c r="BQ713" t="s">
        <v>74</v>
      </c>
      <c r="BR713" t="s">
        <v>100</v>
      </c>
      <c r="BS713" t="s">
        <v>11290</v>
      </c>
      <c r="BT713" t="str">
        <f>HYPERLINK("https%3A%2F%2Fwww.webofscience.com%2Fwos%2Fwoscc%2Ffull-record%2FWOS:000241419400002","View Full Record in Web of Science")</f>
        <v>View Full Record in Web of Science</v>
      </c>
    </row>
    <row r="714" spans="1:72" x14ac:dyDescent="0.15">
      <c r="A714" t="s">
        <v>72</v>
      </c>
      <c r="B714" t="s">
        <v>11291</v>
      </c>
      <c r="C714" t="s">
        <v>74</v>
      </c>
      <c r="D714" t="s">
        <v>74</v>
      </c>
      <c r="E714" t="s">
        <v>74</v>
      </c>
      <c r="F714" t="s">
        <v>11292</v>
      </c>
      <c r="G714" t="s">
        <v>74</v>
      </c>
      <c r="H714" t="s">
        <v>74</v>
      </c>
      <c r="I714" t="s">
        <v>11293</v>
      </c>
      <c r="J714" t="s">
        <v>11276</v>
      </c>
      <c r="K714" t="s">
        <v>74</v>
      </c>
      <c r="L714" t="s">
        <v>74</v>
      </c>
      <c r="M714" t="s">
        <v>78</v>
      </c>
      <c r="N714" t="s">
        <v>79</v>
      </c>
      <c r="O714" t="s">
        <v>74</v>
      </c>
      <c r="P714" t="s">
        <v>74</v>
      </c>
      <c r="Q714" t="s">
        <v>74</v>
      </c>
      <c r="R714" t="s">
        <v>74</v>
      </c>
      <c r="S714" t="s">
        <v>74</v>
      </c>
      <c r="T714" t="s">
        <v>11294</v>
      </c>
      <c r="U714" t="s">
        <v>11295</v>
      </c>
      <c r="V714" t="s">
        <v>11296</v>
      </c>
      <c r="W714" t="s">
        <v>11297</v>
      </c>
      <c r="X714" t="s">
        <v>11298</v>
      </c>
      <c r="Y714" t="s">
        <v>11299</v>
      </c>
      <c r="Z714" t="s">
        <v>5116</v>
      </c>
      <c r="AA714" t="s">
        <v>11300</v>
      </c>
      <c r="AB714" t="s">
        <v>11301</v>
      </c>
      <c r="AC714" t="s">
        <v>74</v>
      </c>
      <c r="AD714" t="s">
        <v>74</v>
      </c>
      <c r="AE714" t="s">
        <v>74</v>
      </c>
      <c r="AF714" t="s">
        <v>74</v>
      </c>
      <c r="AG714">
        <v>47</v>
      </c>
      <c r="AH714">
        <v>45</v>
      </c>
      <c r="AI714">
        <v>46</v>
      </c>
      <c r="AJ714">
        <v>0</v>
      </c>
      <c r="AK714">
        <v>8</v>
      </c>
      <c r="AL714" t="s">
        <v>10638</v>
      </c>
      <c r="AM714" t="s">
        <v>6911</v>
      </c>
      <c r="AN714" t="s">
        <v>10639</v>
      </c>
      <c r="AO714" t="s">
        <v>11284</v>
      </c>
      <c r="AP714" t="s">
        <v>11285</v>
      </c>
      <c r="AQ714" t="s">
        <v>74</v>
      </c>
      <c r="AR714" t="s">
        <v>11286</v>
      </c>
      <c r="AS714" t="s">
        <v>11287</v>
      </c>
      <c r="AT714" t="s">
        <v>10218</v>
      </c>
      <c r="AU714">
        <v>2006</v>
      </c>
      <c r="AV714">
        <v>15</v>
      </c>
      <c r="AW714">
        <v>3</v>
      </c>
      <c r="AX714" t="s">
        <v>74</v>
      </c>
      <c r="AY714" t="s">
        <v>74</v>
      </c>
      <c r="AZ714" t="s">
        <v>74</v>
      </c>
      <c r="BA714" t="s">
        <v>74</v>
      </c>
      <c r="BB714">
        <v>190</v>
      </c>
      <c r="BC714">
        <v>198</v>
      </c>
      <c r="BD714" t="s">
        <v>74</v>
      </c>
      <c r="BE714" t="s">
        <v>11302</v>
      </c>
      <c r="BF714" t="str">
        <f>HYPERLINK("http://dx.doi.org/10.1016/j.niox.2005.12.007","http://dx.doi.org/10.1016/j.niox.2005.12.007")</f>
        <v>http://dx.doi.org/10.1016/j.niox.2005.12.007</v>
      </c>
      <c r="BG714" t="s">
        <v>74</v>
      </c>
      <c r="BH714" t="s">
        <v>74</v>
      </c>
      <c r="BI714">
        <v>9</v>
      </c>
      <c r="BJ714" t="s">
        <v>3289</v>
      </c>
      <c r="BK714" t="s">
        <v>97</v>
      </c>
      <c r="BL714" t="s">
        <v>3289</v>
      </c>
      <c r="BM714" t="s">
        <v>11289</v>
      </c>
      <c r="BN714">
        <v>16442820</v>
      </c>
      <c r="BO714" t="s">
        <v>74</v>
      </c>
      <c r="BP714" t="s">
        <v>74</v>
      </c>
      <c r="BQ714" t="s">
        <v>74</v>
      </c>
      <c r="BR714" t="s">
        <v>100</v>
      </c>
      <c r="BS714" t="s">
        <v>11303</v>
      </c>
      <c r="BT714" t="str">
        <f>HYPERLINK("https%3A%2F%2Fwww.webofscience.com%2Fwos%2Fwoscc%2Ffull-record%2FWOS:000241419400003","View Full Record in Web of Science")</f>
        <v>View Full Record in Web of Science</v>
      </c>
    </row>
    <row r="715" spans="1:72" x14ac:dyDescent="0.15">
      <c r="A715" t="s">
        <v>72</v>
      </c>
      <c r="B715" t="s">
        <v>11304</v>
      </c>
      <c r="C715" t="s">
        <v>74</v>
      </c>
      <c r="D715" t="s">
        <v>74</v>
      </c>
      <c r="E715" t="s">
        <v>74</v>
      </c>
      <c r="F715" t="s">
        <v>11305</v>
      </c>
      <c r="G715" t="s">
        <v>74</v>
      </c>
      <c r="H715" t="s">
        <v>74</v>
      </c>
      <c r="I715" t="s">
        <v>11306</v>
      </c>
      <c r="J715" t="s">
        <v>11307</v>
      </c>
      <c r="K715" t="s">
        <v>74</v>
      </c>
      <c r="L715" t="s">
        <v>74</v>
      </c>
      <c r="M715" t="s">
        <v>78</v>
      </c>
      <c r="N715" t="s">
        <v>79</v>
      </c>
      <c r="O715" t="s">
        <v>74</v>
      </c>
      <c r="P715" t="s">
        <v>74</v>
      </c>
      <c r="Q715" t="s">
        <v>74</v>
      </c>
      <c r="R715" t="s">
        <v>74</v>
      </c>
      <c r="S715" t="s">
        <v>74</v>
      </c>
      <c r="T715" t="s">
        <v>11308</v>
      </c>
      <c r="U715" t="s">
        <v>11309</v>
      </c>
      <c r="V715" t="s">
        <v>11310</v>
      </c>
      <c r="W715" t="s">
        <v>11311</v>
      </c>
      <c r="X715" t="s">
        <v>11312</v>
      </c>
      <c r="Y715" t="s">
        <v>11313</v>
      </c>
      <c r="Z715" t="s">
        <v>11314</v>
      </c>
      <c r="AA715" t="s">
        <v>11315</v>
      </c>
      <c r="AB715" t="s">
        <v>11316</v>
      </c>
      <c r="AC715" t="s">
        <v>74</v>
      </c>
      <c r="AD715" t="s">
        <v>74</v>
      </c>
      <c r="AE715" t="s">
        <v>74</v>
      </c>
      <c r="AF715" t="s">
        <v>74</v>
      </c>
      <c r="AG715">
        <v>57</v>
      </c>
      <c r="AH715">
        <v>22</v>
      </c>
      <c r="AI715">
        <v>29</v>
      </c>
      <c r="AJ715">
        <v>0</v>
      </c>
      <c r="AK715">
        <v>34</v>
      </c>
      <c r="AL715" t="s">
        <v>11317</v>
      </c>
      <c r="AM715" t="s">
        <v>3372</v>
      </c>
      <c r="AN715" t="s">
        <v>11318</v>
      </c>
      <c r="AO715" t="s">
        <v>11319</v>
      </c>
      <c r="AP715" t="s">
        <v>74</v>
      </c>
      <c r="AQ715" t="s">
        <v>74</v>
      </c>
      <c r="AR715" t="s">
        <v>11307</v>
      </c>
      <c r="AS715" t="s">
        <v>11320</v>
      </c>
      <c r="AT715" t="s">
        <v>10218</v>
      </c>
      <c r="AU715">
        <v>2006</v>
      </c>
      <c r="AV715">
        <v>45</v>
      </c>
      <c r="AW715">
        <v>6</v>
      </c>
      <c r="AX715" t="s">
        <v>74</v>
      </c>
      <c r="AY715" t="s">
        <v>74</v>
      </c>
      <c r="AZ715" t="s">
        <v>74</v>
      </c>
      <c r="BA715" t="s">
        <v>74</v>
      </c>
      <c r="BB715">
        <v>704</v>
      </c>
      <c r="BC715">
        <v>710</v>
      </c>
      <c r="BD715" t="s">
        <v>74</v>
      </c>
      <c r="BE715" t="s">
        <v>11321</v>
      </c>
      <c r="BF715" t="str">
        <f>HYPERLINK("http://dx.doi.org/10.2216/06-15.1","http://dx.doi.org/10.2216/06-15.1")</f>
        <v>http://dx.doi.org/10.2216/06-15.1</v>
      </c>
      <c r="BG715" t="s">
        <v>74</v>
      </c>
      <c r="BH715" t="s">
        <v>74</v>
      </c>
      <c r="BI715">
        <v>7</v>
      </c>
      <c r="BJ715" t="s">
        <v>2436</v>
      </c>
      <c r="BK715" t="s">
        <v>97</v>
      </c>
      <c r="BL715" t="s">
        <v>2436</v>
      </c>
      <c r="BM715" t="s">
        <v>11322</v>
      </c>
      <c r="BN715" t="s">
        <v>74</v>
      </c>
      <c r="BO715" t="s">
        <v>74</v>
      </c>
      <c r="BP715" t="s">
        <v>74</v>
      </c>
      <c r="BQ715" t="s">
        <v>74</v>
      </c>
      <c r="BR715" t="s">
        <v>100</v>
      </c>
      <c r="BS715" t="s">
        <v>11323</v>
      </c>
      <c r="BT715" t="str">
        <f>HYPERLINK("https%3A%2F%2Fwww.webofscience.com%2Fwos%2Fwoscc%2Ffull-record%2FWOS:000241973000011","View Full Record in Web of Science")</f>
        <v>View Full Record in Web of Science</v>
      </c>
    </row>
    <row r="716" spans="1:72" x14ac:dyDescent="0.15">
      <c r="A716" t="s">
        <v>72</v>
      </c>
      <c r="B716" t="s">
        <v>11324</v>
      </c>
      <c r="C716" t="s">
        <v>74</v>
      </c>
      <c r="D716" t="s">
        <v>74</v>
      </c>
      <c r="E716" t="s">
        <v>74</v>
      </c>
      <c r="F716" t="s">
        <v>11325</v>
      </c>
      <c r="G716" t="s">
        <v>74</v>
      </c>
      <c r="H716" t="s">
        <v>691</v>
      </c>
      <c r="I716" t="s">
        <v>11326</v>
      </c>
      <c r="J716" t="s">
        <v>11327</v>
      </c>
      <c r="K716" t="s">
        <v>74</v>
      </c>
      <c r="L716" t="s">
        <v>74</v>
      </c>
      <c r="M716" t="s">
        <v>78</v>
      </c>
      <c r="N716" t="s">
        <v>79</v>
      </c>
      <c r="O716" t="s">
        <v>74</v>
      </c>
      <c r="P716" t="s">
        <v>74</v>
      </c>
      <c r="Q716" t="s">
        <v>74</v>
      </c>
      <c r="R716" t="s">
        <v>74</v>
      </c>
      <c r="S716" t="s">
        <v>74</v>
      </c>
      <c r="T716" t="s">
        <v>74</v>
      </c>
      <c r="U716" t="s">
        <v>11328</v>
      </c>
      <c r="V716" t="s">
        <v>11329</v>
      </c>
      <c r="W716" t="s">
        <v>11330</v>
      </c>
      <c r="X716" t="s">
        <v>11331</v>
      </c>
      <c r="Y716" t="s">
        <v>11332</v>
      </c>
      <c r="Z716" t="s">
        <v>11333</v>
      </c>
      <c r="AA716" t="s">
        <v>11334</v>
      </c>
      <c r="AB716" t="s">
        <v>11335</v>
      </c>
      <c r="AC716" t="s">
        <v>74</v>
      </c>
      <c r="AD716" t="s">
        <v>74</v>
      </c>
      <c r="AE716" t="s">
        <v>74</v>
      </c>
      <c r="AF716" t="s">
        <v>74</v>
      </c>
      <c r="AG716">
        <v>64</v>
      </c>
      <c r="AH716">
        <v>4</v>
      </c>
      <c r="AI716">
        <v>5</v>
      </c>
      <c r="AJ716">
        <v>0</v>
      </c>
      <c r="AK716">
        <v>1</v>
      </c>
      <c r="AL716" t="s">
        <v>11336</v>
      </c>
      <c r="AM716" t="s">
        <v>7150</v>
      </c>
      <c r="AN716" t="s">
        <v>11337</v>
      </c>
      <c r="AO716" t="s">
        <v>11338</v>
      </c>
      <c r="AP716" t="s">
        <v>11339</v>
      </c>
      <c r="AQ716" t="s">
        <v>74</v>
      </c>
      <c r="AR716" t="s">
        <v>11340</v>
      </c>
      <c r="AS716" t="s">
        <v>11341</v>
      </c>
      <c r="AT716" t="s">
        <v>10218</v>
      </c>
      <c r="AU716">
        <v>2006</v>
      </c>
      <c r="AV716">
        <v>69</v>
      </c>
      <c r="AW716">
        <v>11</v>
      </c>
      <c r="AX716" t="s">
        <v>74</v>
      </c>
      <c r="AY716" t="s">
        <v>74</v>
      </c>
      <c r="AZ716" t="s">
        <v>74</v>
      </c>
      <c r="BA716" t="s">
        <v>74</v>
      </c>
      <c r="BB716">
        <v>1899</v>
      </c>
      <c r="BC716">
        <v>1907</v>
      </c>
      <c r="BD716" t="s">
        <v>74</v>
      </c>
      <c r="BE716" t="s">
        <v>11342</v>
      </c>
      <c r="BF716" t="str">
        <f>HYPERLINK("http://dx.doi.org/10.1134/S1063778806110147","http://dx.doi.org/10.1134/S1063778806110147")</f>
        <v>http://dx.doi.org/10.1134/S1063778806110147</v>
      </c>
      <c r="BG716" t="s">
        <v>74</v>
      </c>
      <c r="BH716" t="s">
        <v>74</v>
      </c>
      <c r="BI716">
        <v>9</v>
      </c>
      <c r="BJ716" t="s">
        <v>11343</v>
      </c>
      <c r="BK716" t="s">
        <v>97</v>
      </c>
      <c r="BL716" t="s">
        <v>267</v>
      </c>
      <c r="BM716" t="s">
        <v>11344</v>
      </c>
      <c r="BN716" t="s">
        <v>74</v>
      </c>
      <c r="BO716" t="s">
        <v>74</v>
      </c>
      <c r="BP716" t="s">
        <v>74</v>
      </c>
      <c r="BQ716" t="s">
        <v>74</v>
      </c>
      <c r="BR716" t="s">
        <v>100</v>
      </c>
      <c r="BS716" t="s">
        <v>11345</v>
      </c>
      <c r="BT716" t="str">
        <f>HYPERLINK("https%3A%2F%2Fwww.webofscience.com%2Fwos%2Fwoscc%2Ffull-record%2FWOS:000242061200014","View Full Record in Web of Science")</f>
        <v>View Full Record in Web of Science</v>
      </c>
    </row>
    <row r="717" spans="1:72" x14ac:dyDescent="0.15">
      <c r="A717" t="s">
        <v>72</v>
      </c>
      <c r="B717" t="s">
        <v>11346</v>
      </c>
      <c r="C717" t="s">
        <v>74</v>
      </c>
      <c r="D717" t="s">
        <v>74</v>
      </c>
      <c r="E717" t="s">
        <v>74</v>
      </c>
      <c r="F717" t="s">
        <v>11347</v>
      </c>
      <c r="G717" t="s">
        <v>74</v>
      </c>
      <c r="H717" t="s">
        <v>74</v>
      </c>
      <c r="I717" t="s">
        <v>11348</v>
      </c>
      <c r="J717" t="s">
        <v>5588</v>
      </c>
      <c r="K717" t="s">
        <v>74</v>
      </c>
      <c r="L717" t="s">
        <v>74</v>
      </c>
      <c r="M717" t="s">
        <v>78</v>
      </c>
      <c r="N717" t="s">
        <v>79</v>
      </c>
      <c r="O717" t="s">
        <v>74</v>
      </c>
      <c r="P717" t="s">
        <v>74</v>
      </c>
      <c r="Q717" t="s">
        <v>74</v>
      </c>
      <c r="R717" t="s">
        <v>74</v>
      </c>
      <c r="S717" t="s">
        <v>74</v>
      </c>
      <c r="T717" t="s">
        <v>74</v>
      </c>
      <c r="U717" t="s">
        <v>11349</v>
      </c>
      <c r="V717" t="s">
        <v>11350</v>
      </c>
      <c r="W717" t="s">
        <v>513</v>
      </c>
      <c r="X717" t="s">
        <v>514</v>
      </c>
      <c r="Y717" t="s">
        <v>11351</v>
      </c>
      <c r="Z717" t="s">
        <v>11352</v>
      </c>
      <c r="AA717" t="s">
        <v>74</v>
      </c>
      <c r="AB717" t="s">
        <v>74</v>
      </c>
      <c r="AC717" t="s">
        <v>4321</v>
      </c>
      <c r="AD717" t="s">
        <v>158</v>
      </c>
      <c r="AE717" t="s">
        <v>74</v>
      </c>
      <c r="AF717" t="s">
        <v>74</v>
      </c>
      <c r="AG717">
        <v>15</v>
      </c>
      <c r="AH717">
        <v>8</v>
      </c>
      <c r="AI717">
        <v>9</v>
      </c>
      <c r="AJ717">
        <v>0</v>
      </c>
      <c r="AK717">
        <v>10</v>
      </c>
      <c r="AL717" t="s">
        <v>613</v>
      </c>
      <c r="AM717" t="s">
        <v>678</v>
      </c>
      <c r="AN717" t="s">
        <v>5667</v>
      </c>
      <c r="AO717" t="s">
        <v>5597</v>
      </c>
      <c r="AP717" t="s">
        <v>5598</v>
      </c>
      <c r="AQ717" t="s">
        <v>74</v>
      </c>
      <c r="AR717" t="s">
        <v>5599</v>
      </c>
      <c r="AS717" t="s">
        <v>5600</v>
      </c>
      <c r="AT717" t="s">
        <v>10218</v>
      </c>
      <c r="AU717">
        <v>2006</v>
      </c>
      <c r="AV717">
        <v>29</v>
      </c>
      <c r="AW717">
        <v>12</v>
      </c>
      <c r="AX717" t="s">
        <v>74</v>
      </c>
      <c r="AY717" t="s">
        <v>74</v>
      </c>
      <c r="AZ717" t="s">
        <v>74</v>
      </c>
      <c r="BA717" t="s">
        <v>74</v>
      </c>
      <c r="BB717">
        <v>1003</v>
      </c>
      <c r="BC717">
        <v>1010</v>
      </c>
      <c r="BD717" t="s">
        <v>74</v>
      </c>
      <c r="BE717" t="s">
        <v>11353</v>
      </c>
      <c r="BF717" t="str">
        <f>HYPERLINK("http://dx.doi.org/10.1007/s00300-006-0143-4","http://dx.doi.org/10.1007/s00300-006-0143-4")</f>
        <v>http://dx.doi.org/10.1007/s00300-006-0143-4</v>
      </c>
      <c r="BG717" t="s">
        <v>74</v>
      </c>
      <c r="BH717" t="s">
        <v>74</v>
      </c>
      <c r="BI717">
        <v>8</v>
      </c>
      <c r="BJ717" t="s">
        <v>5602</v>
      </c>
      <c r="BK717" t="s">
        <v>97</v>
      </c>
      <c r="BL717" t="s">
        <v>5603</v>
      </c>
      <c r="BM717" t="s">
        <v>11354</v>
      </c>
      <c r="BN717" t="s">
        <v>74</v>
      </c>
      <c r="BO717" t="s">
        <v>74</v>
      </c>
      <c r="BP717" t="s">
        <v>74</v>
      </c>
      <c r="BQ717" t="s">
        <v>74</v>
      </c>
      <c r="BR717" t="s">
        <v>100</v>
      </c>
      <c r="BS717" t="s">
        <v>11355</v>
      </c>
      <c r="BT717" t="str">
        <f>HYPERLINK("https%3A%2F%2Fwww.webofscience.com%2Fwos%2Fwoscc%2Ffull-record%2FWOS:000241219600001","View Full Record in Web of Science")</f>
        <v>View Full Record in Web of Science</v>
      </c>
    </row>
    <row r="718" spans="1:72" x14ac:dyDescent="0.15">
      <c r="A718" t="s">
        <v>72</v>
      </c>
      <c r="B718" t="s">
        <v>11356</v>
      </c>
      <c r="C718" t="s">
        <v>74</v>
      </c>
      <c r="D718" t="s">
        <v>74</v>
      </c>
      <c r="E718" t="s">
        <v>74</v>
      </c>
      <c r="F718" t="s">
        <v>11357</v>
      </c>
      <c r="G718" t="s">
        <v>74</v>
      </c>
      <c r="H718" t="s">
        <v>74</v>
      </c>
      <c r="I718" t="s">
        <v>11358</v>
      </c>
      <c r="J718" t="s">
        <v>5588</v>
      </c>
      <c r="K718" t="s">
        <v>74</v>
      </c>
      <c r="L718" t="s">
        <v>74</v>
      </c>
      <c r="M718" t="s">
        <v>78</v>
      </c>
      <c r="N718" t="s">
        <v>79</v>
      </c>
      <c r="O718" t="s">
        <v>74</v>
      </c>
      <c r="P718" t="s">
        <v>74</v>
      </c>
      <c r="Q718" t="s">
        <v>74</v>
      </c>
      <c r="R718" t="s">
        <v>74</v>
      </c>
      <c r="S718" t="s">
        <v>74</v>
      </c>
      <c r="T718" t="s">
        <v>74</v>
      </c>
      <c r="U718" t="s">
        <v>11359</v>
      </c>
      <c r="V718" t="s">
        <v>11360</v>
      </c>
      <c r="W718" t="s">
        <v>11361</v>
      </c>
      <c r="X718" t="s">
        <v>11362</v>
      </c>
      <c r="Y718" t="s">
        <v>11363</v>
      </c>
      <c r="Z718" t="s">
        <v>11364</v>
      </c>
      <c r="AA718" t="s">
        <v>11365</v>
      </c>
      <c r="AB718" t="s">
        <v>11366</v>
      </c>
      <c r="AC718" t="s">
        <v>74</v>
      </c>
      <c r="AD718" t="s">
        <v>74</v>
      </c>
      <c r="AE718" t="s">
        <v>74</v>
      </c>
      <c r="AF718" t="s">
        <v>74</v>
      </c>
      <c r="AG718">
        <v>27</v>
      </c>
      <c r="AH718">
        <v>16</v>
      </c>
      <c r="AI718">
        <v>19</v>
      </c>
      <c r="AJ718">
        <v>0</v>
      </c>
      <c r="AK718">
        <v>11</v>
      </c>
      <c r="AL718" t="s">
        <v>613</v>
      </c>
      <c r="AM718" t="s">
        <v>678</v>
      </c>
      <c r="AN718" t="s">
        <v>679</v>
      </c>
      <c r="AO718" t="s">
        <v>5597</v>
      </c>
      <c r="AP718" t="s">
        <v>5598</v>
      </c>
      <c r="AQ718" t="s">
        <v>74</v>
      </c>
      <c r="AR718" t="s">
        <v>5599</v>
      </c>
      <c r="AS718" t="s">
        <v>5600</v>
      </c>
      <c r="AT718" t="s">
        <v>10218</v>
      </c>
      <c r="AU718">
        <v>2006</v>
      </c>
      <c r="AV718">
        <v>29</v>
      </c>
      <c r="AW718">
        <v>12</v>
      </c>
      <c r="AX718" t="s">
        <v>74</v>
      </c>
      <c r="AY718" t="s">
        <v>74</v>
      </c>
      <c r="AZ718" t="s">
        <v>74</v>
      </c>
      <c r="BA718" t="s">
        <v>74</v>
      </c>
      <c r="BB718">
        <v>1011</v>
      </c>
      <c r="BC718">
        <v>1017</v>
      </c>
      <c r="BD718" t="s">
        <v>74</v>
      </c>
      <c r="BE718" t="s">
        <v>11367</v>
      </c>
      <c r="BF718" t="str">
        <f>HYPERLINK("http://dx.doi.org/10.1007/s00300-006-0144-3","http://dx.doi.org/10.1007/s00300-006-0144-3")</f>
        <v>http://dx.doi.org/10.1007/s00300-006-0144-3</v>
      </c>
      <c r="BG718" t="s">
        <v>74</v>
      </c>
      <c r="BH718" t="s">
        <v>74</v>
      </c>
      <c r="BI718">
        <v>7</v>
      </c>
      <c r="BJ718" t="s">
        <v>5602</v>
      </c>
      <c r="BK718" t="s">
        <v>97</v>
      </c>
      <c r="BL718" t="s">
        <v>5603</v>
      </c>
      <c r="BM718" t="s">
        <v>11354</v>
      </c>
      <c r="BN718" t="s">
        <v>74</v>
      </c>
      <c r="BO718" t="s">
        <v>74</v>
      </c>
      <c r="BP718" t="s">
        <v>74</v>
      </c>
      <c r="BQ718" t="s">
        <v>74</v>
      </c>
      <c r="BR718" t="s">
        <v>100</v>
      </c>
      <c r="BS718" t="s">
        <v>11368</v>
      </c>
      <c r="BT718" t="str">
        <f>HYPERLINK("https%3A%2F%2Fwww.webofscience.com%2Fwos%2Fwoscc%2Ffull-record%2FWOS:000241219600002","View Full Record in Web of Science")</f>
        <v>View Full Record in Web of Science</v>
      </c>
    </row>
    <row r="719" spans="1:72" x14ac:dyDescent="0.15">
      <c r="A719" t="s">
        <v>72</v>
      </c>
      <c r="B719" t="s">
        <v>11369</v>
      </c>
      <c r="C719" t="s">
        <v>74</v>
      </c>
      <c r="D719" t="s">
        <v>74</v>
      </c>
      <c r="E719" t="s">
        <v>74</v>
      </c>
      <c r="F719" t="s">
        <v>11370</v>
      </c>
      <c r="G719" t="s">
        <v>74</v>
      </c>
      <c r="H719" t="s">
        <v>74</v>
      </c>
      <c r="I719" t="s">
        <v>11371</v>
      </c>
      <c r="J719" t="s">
        <v>5588</v>
      </c>
      <c r="K719" t="s">
        <v>74</v>
      </c>
      <c r="L719" t="s">
        <v>74</v>
      </c>
      <c r="M719" t="s">
        <v>78</v>
      </c>
      <c r="N719" t="s">
        <v>79</v>
      </c>
      <c r="O719" t="s">
        <v>74</v>
      </c>
      <c r="P719" t="s">
        <v>74</v>
      </c>
      <c r="Q719" t="s">
        <v>74</v>
      </c>
      <c r="R719" t="s">
        <v>74</v>
      </c>
      <c r="S719" t="s">
        <v>74</v>
      </c>
      <c r="T719" t="s">
        <v>74</v>
      </c>
      <c r="U719" t="s">
        <v>11372</v>
      </c>
      <c r="V719" t="s">
        <v>11373</v>
      </c>
      <c r="W719" t="s">
        <v>11374</v>
      </c>
      <c r="X719" t="s">
        <v>11375</v>
      </c>
      <c r="Y719" t="s">
        <v>11376</v>
      </c>
      <c r="Z719" t="s">
        <v>11377</v>
      </c>
      <c r="AA719" t="s">
        <v>11378</v>
      </c>
      <c r="AB719" t="s">
        <v>11379</v>
      </c>
      <c r="AC719" t="s">
        <v>74</v>
      </c>
      <c r="AD719" t="s">
        <v>74</v>
      </c>
      <c r="AE719" t="s">
        <v>74</v>
      </c>
      <c r="AF719" t="s">
        <v>74</v>
      </c>
      <c r="AG719">
        <v>40</v>
      </c>
      <c r="AH719">
        <v>11</v>
      </c>
      <c r="AI719">
        <v>11</v>
      </c>
      <c r="AJ719">
        <v>0</v>
      </c>
      <c r="AK719">
        <v>6</v>
      </c>
      <c r="AL719" t="s">
        <v>613</v>
      </c>
      <c r="AM719" t="s">
        <v>678</v>
      </c>
      <c r="AN719" t="s">
        <v>5667</v>
      </c>
      <c r="AO719" t="s">
        <v>5597</v>
      </c>
      <c r="AP719" t="s">
        <v>5598</v>
      </c>
      <c r="AQ719" t="s">
        <v>74</v>
      </c>
      <c r="AR719" t="s">
        <v>5599</v>
      </c>
      <c r="AS719" t="s">
        <v>5600</v>
      </c>
      <c r="AT719" t="s">
        <v>10218</v>
      </c>
      <c r="AU719">
        <v>2006</v>
      </c>
      <c r="AV719">
        <v>29</v>
      </c>
      <c r="AW719">
        <v>12</v>
      </c>
      <c r="AX719" t="s">
        <v>74</v>
      </c>
      <c r="AY719" t="s">
        <v>74</v>
      </c>
      <c r="AZ719" t="s">
        <v>74</v>
      </c>
      <c r="BA719" t="s">
        <v>74</v>
      </c>
      <c r="BB719">
        <v>1018</v>
      </c>
      <c r="BC719">
        <v>1027</v>
      </c>
      <c r="BD719" t="s">
        <v>74</v>
      </c>
      <c r="BE719" t="s">
        <v>11380</v>
      </c>
      <c r="BF719" t="str">
        <f>HYPERLINK("http://dx.doi.org/10.1007/s00300-006-0145-2","http://dx.doi.org/10.1007/s00300-006-0145-2")</f>
        <v>http://dx.doi.org/10.1007/s00300-006-0145-2</v>
      </c>
      <c r="BG719" t="s">
        <v>74</v>
      </c>
      <c r="BH719" t="s">
        <v>74</v>
      </c>
      <c r="BI719">
        <v>10</v>
      </c>
      <c r="BJ719" t="s">
        <v>5602</v>
      </c>
      <c r="BK719" t="s">
        <v>97</v>
      </c>
      <c r="BL719" t="s">
        <v>5603</v>
      </c>
      <c r="BM719" t="s">
        <v>11354</v>
      </c>
      <c r="BN719" t="s">
        <v>74</v>
      </c>
      <c r="BO719" t="s">
        <v>74</v>
      </c>
      <c r="BP719" t="s">
        <v>74</v>
      </c>
      <c r="BQ719" t="s">
        <v>74</v>
      </c>
      <c r="BR719" t="s">
        <v>100</v>
      </c>
      <c r="BS719" t="s">
        <v>11381</v>
      </c>
      <c r="BT719" t="str">
        <f>HYPERLINK("https%3A%2F%2Fwww.webofscience.com%2Fwos%2Fwoscc%2Ffull-record%2FWOS:000241219600003","View Full Record in Web of Science")</f>
        <v>View Full Record in Web of Science</v>
      </c>
    </row>
    <row r="720" spans="1:72" x14ac:dyDescent="0.15">
      <c r="A720" t="s">
        <v>72</v>
      </c>
      <c r="B720" t="s">
        <v>11382</v>
      </c>
      <c r="C720" t="s">
        <v>74</v>
      </c>
      <c r="D720" t="s">
        <v>74</v>
      </c>
      <c r="E720" t="s">
        <v>74</v>
      </c>
      <c r="F720" t="s">
        <v>11383</v>
      </c>
      <c r="G720" t="s">
        <v>74</v>
      </c>
      <c r="H720" t="s">
        <v>74</v>
      </c>
      <c r="I720" t="s">
        <v>11384</v>
      </c>
      <c r="J720" t="s">
        <v>5588</v>
      </c>
      <c r="K720" t="s">
        <v>74</v>
      </c>
      <c r="L720" t="s">
        <v>74</v>
      </c>
      <c r="M720" t="s">
        <v>78</v>
      </c>
      <c r="N720" t="s">
        <v>79</v>
      </c>
      <c r="O720" t="s">
        <v>74</v>
      </c>
      <c r="P720" t="s">
        <v>74</v>
      </c>
      <c r="Q720" t="s">
        <v>74</v>
      </c>
      <c r="R720" t="s">
        <v>74</v>
      </c>
      <c r="S720" t="s">
        <v>74</v>
      </c>
      <c r="T720" t="s">
        <v>74</v>
      </c>
      <c r="U720" t="s">
        <v>11385</v>
      </c>
      <c r="V720" t="s">
        <v>11386</v>
      </c>
      <c r="W720" t="s">
        <v>11387</v>
      </c>
      <c r="X720" t="s">
        <v>11388</v>
      </c>
      <c r="Y720" t="s">
        <v>11389</v>
      </c>
      <c r="Z720" t="s">
        <v>11390</v>
      </c>
      <c r="AA720" t="s">
        <v>74</v>
      </c>
      <c r="AB720" t="s">
        <v>74</v>
      </c>
      <c r="AC720" t="s">
        <v>9094</v>
      </c>
      <c r="AD720" t="s">
        <v>1254</v>
      </c>
      <c r="AE720" t="s">
        <v>74</v>
      </c>
      <c r="AF720" t="s">
        <v>74</v>
      </c>
      <c r="AG720">
        <v>29</v>
      </c>
      <c r="AH720">
        <v>12</v>
      </c>
      <c r="AI720">
        <v>12</v>
      </c>
      <c r="AJ720">
        <v>0</v>
      </c>
      <c r="AK720">
        <v>9</v>
      </c>
      <c r="AL720" t="s">
        <v>613</v>
      </c>
      <c r="AM720" t="s">
        <v>678</v>
      </c>
      <c r="AN720" t="s">
        <v>5667</v>
      </c>
      <c r="AO720" t="s">
        <v>5597</v>
      </c>
      <c r="AP720" t="s">
        <v>5598</v>
      </c>
      <c r="AQ720" t="s">
        <v>74</v>
      </c>
      <c r="AR720" t="s">
        <v>5599</v>
      </c>
      <c r="AS720" t="s">
        <v>5600</v>
      </c>
      <c r="AT720" t="s">
        <v>10218</v>
      </c>
      <c r="AU720">
        <v>2006</v>
      </c>
      <c r="AV720">
        <v>29</v>
      </c>
      <c r="AW720">
        <v>12</v>
      </c>
      <c r="AX720" t="s">
        <v>74</v>
      </c>
      <c r="AY720" t="s">
        <v>74</v>
      </c>
      <c r="AZ720" t="s">
        <v>74</v>
      </c>
      <c r="BA720" t="s">
        <v>74</v>
      </c>
      <c r="BB720">
        <v>1028</v>
      </c>
      <c r="BC720">
        <v>1038</v>
      </c>
      <c r="BD720" t="s">
        <v>74</v>
      </c>
      <c r="BE720" t="s">
        <v>11391</v>
      </c>
      <c r="BF720" t="str">
        <f>HYPERLINK("http://dx.doi.org/10.1007/s00300-006-0146-1","http://dx.doi.org/10.1007/s00300-006-0146-1")</f>
        <v>http://dx.doi.org/10.1007/s00300-006-0146-1</v>
      </c>
      <c r="BG720" t="s">
        <v>74</v>
      </c>
      <c r="BH720" t="s">
        <v>74</v>
      </c>
      <c r="BI720">
        <v>11</v>
      </c>
      <c r="BJ720" t="s">
        <v>5602</v>
      </c>
      <c r="BK720" t="s">
        <v>97</v>
      </c>
      <c r="BL720" t="s">
        <v>5603</v>
      </c>
      <c r="BM720" t="s">
        <v>11354</v>
      </c>
      <c r="BN720" t="s">
        <v>74</v>
      </c>
      <c r="BO720" t="s">
        <v>3355</v>
      </c>
      <c r="BP720" t="s">
        <v>74</v>
      </c>
      <c r="BQ720" t="s">
        <v>74</v>
      </c>
      <c r="BR720" t="s">
        <v>100</v>
      </c>
      <c r="BS720" t="s">
        <v>11392</v>
      </c>
      <c r="BT720" t="str">
        <f>HYPERLINK("https%3A%2F%2Fwww.webofscience.com%2Fwos%2Fwoscc%2Ffull-record%2FWOS:000241219600004","View Full Record in Web of Science")</f>
        <v>View Full Record in Web of Science</v>
      </c>
    </row>
    <row r="721" spans="1:72" x14ac:dyDescent="0.15">
      <c r="A721" t="s">
        <v>72</v>
      </c>
      <c r="B721" t="s">
        <v>11393</v>
      </c>
      <c r="C721" t="s">
        <v>74</v>
      </c>
      <c r="D721" t="s">
        <v>74</v>
      </c>
      <c r="E721" t="s">
        <v>74</v>
      </c>
      <c r="F721" t="s">
        <v>11394</v>
      </c>
      <c r="G721" t="s">
        <v>74</v>
      </c>
      <c r="H721" t="s">
        <v>74</v>
      </c>
      <c r="I721" t="s">
        <v>11395</v>
      </c>
      <c r="J721" t="s">
        <v>5588</v>
      </c>
      <c r="K721" t="s">
        <v>74</v>
      </c>
      <c r="L721" t="s">
        <v>74</v>
      </c>
      <c r="M721" t="s">
        <v>78</v>
      </c>
      <c r="N721" t="s">
        <v>79</v>
      </c>
      <c r="O721" t="s">
        <v>74</v>
      </c>
      <c r="P721" t="s">
        <v>74</v>
      </c>
      <c r="Q721" t="s">
        <v>74</v>
      </c>
      <c r="R721" t="s">
        <v>74</v>
      </c>
      <c r="S721" t="s">
        <v>74</v>
      </c>
      <c r="T721" t="s">
        <v>74</v>
      </c>
      <c r="U721" t="s">
        <v>11396</v>
      </c>
      <c r="V721" t="s">
        <v>11397</v>
      </c>
      <c r="W721" t="s">
        <v>5481</v>
      </c>
      <c r="X721" t="s">
        <v>1829</v>
      </c>
      <c r="Y721" t="s">
        <v>11398</v>
      </c>
      <c r="Z721" t="s">
        <v>11399</v>
      </c>
      <c r="AA721" t="s">
        <v>11400</v>
      </c>
      <c r="AB721" t="s">
        <v>11401</v>
      </c>
      <c r="AC721" t="s">
        <v>74</v>
      </c>
      <c r="AD721" t="s">
        <v>74</v>
      </c>
      <c r="AE721" t="s">
        <v>74</v>
      </c>
      <c r="AF721" t="s">
        <v>74</v>
      </c>
      <c r="AG721">
        <v>20</v>
      </c>
      <c r="AH721">
        <v>13</v>
      </c>
      <c r="AI721">
        <v>14</v>
      </c>
      <c r="AJ721">
        <v>0</v>
      </c>
      <c r="AK721">
        <v>8</v>
      </c>
      <c r="AL721" t="s">
        <v>613</v>
      </c>
      <c r="AM721" t="s">
        <v>678</v>
      </c>
      <c r="AN721" t="s">
        <v>4336</v>
      </c>
      <c r="AO721" t="s">
        <v>5597</v>
      </c>
      <c r="AP721" t="s">
        <v>74</v>
      </c>
      <c r="AQ721" t="s">
        <v>74</v>
      </c>
      <c r="AR721" t="s">
        <v>5599</v>
      </c>
      <c r="AS721" t="s">
        <v>5600</v>
      </c>
      <c r="AT721" t="s">
        <v>10218</v>
      </c>
      <c r="AU721">
        <v>2006</v>
      </c>
      <c r="AV721">
        <v>29</v>
      </c>
      <c r="AW721">
        <v>12</v>
      </c>
      <c r="AX721" t="s">
        <v>74</v>
      </c>
      <c r="AY721" t="s">
        <v>74</v>
      </c>
      <c r="AZ721" t="s">
        <v>74</v>
      </c>
      <c r="BA721" t="s">
        <v>74</v>
      </c>
      <c r="BB721">
        <v>1039</v>
      </c>
      <c r="BC721">
        <v>1044</v>
      </c>
      <c r="BD721" t="s">
        <v>74</v>
      </c>
      <c r="BE721" t="s">
        <v>11402</v>
      </c>
      <c r="BF721" t="str">
        <f>HYPERLINK("http://dx.doi.org/10.1007/s00300-006-0147-0","http://dx.doi.org/10.1007/s00300-006-0147-0")</f>
        <v>http://dx.doi.org/10.1007/s00300-006-0147-0</v>
      </c>
      <c r="BG721" t="s">
        <v>74</v>
      </c>
      <c r="BH721" t="s">
        <v>74</v>
      </c>
      <c r="BI721">
        <v>6</v>
      </c>
      <c r="BJ721" t="s">
        <v>5602</v>
      </c>
      <c r="BK721" t="s">
        <v>97</v>
      </c>
      <c r="BL721" t="s">
        <v>5603</v>
      </c>
      <c r="BM721" t="s">
        <v>11354</v>
      </c>
      <c r="BN721" t="s">
        <v>74</v>
      </c>
      <c r="BO721" t="s">
        <v>1384</v>
      </c>
      <c r="BP721" t="s">
        <v>74</v>
      </c>
      <c r="BQ721" t="s">
        <v>74</v>
      </c>
      <c r="BR721" t="s">
        <v>100</v>
      </c>
      <c r="BS721" t="s">
        <v>11403</v>
      </c>
      <c r="BT721" t="str">
        <f>HYPERLINK("https%3A%2F%2Fwww.webofscience.com%2Fwos%2Fwoscc%2Ffull-record%2FWOS:000241219600005","View Full Record in Web of Science")</f>
        <v>View Full Record in Web of Science</v>
      </c>
    </row>
    <row r="722" spans="1:72" x14ac:dyDescent="0.15">
      <c r="A722" t="s">
        <v>72</v>
      </c>
      <c r="B722" t="s">
        <v>11404</v>
      </c>
      <c r="C722" t="s">
        <v>74</v>
      </c>
      <c r="D722" t="s">
        <v>74</v>
      </c>
      <c r="E722" t="s">
        <v>74</v>
      </c>
      <c r="F722" t="s">
        <v>11405</v>
      </c>
      <c r="G722" t="s">
        <v>74</v>
      </c>
      <c r="H722" t="s">
        <v>74</v>
      </c>
      <c r="I722" t="s">
        <v>11406</v>
      </c>
      <c r="J722" t="s">
        <v>5588</v>
      </c>
      <c r="K722" t="s">
        <v>74</v>
      </c>
      <c r="L722" t="s">
        <v>74</v>
      </c>
      <c r="M722" t="s">
        <v>78</v>
      </c>
      <c r="N722" t="s">
        <v>79</v>
      </c>
      <c r="O722" t="s">
        <v>74</v>
      </c>
      <c r="P722" t="s">
        <v>74</v>
      </c>
      <c r="Q722" t="s">
        <v>74</v>
      </c>
      <c r="R722" t="s">
        <v>74</v>
      </c>
      <c r="S722" t="s">
        <v>74</v>
      </c>
      <c r="T722" t="s">
        <v>74</v>
      </c>
      <c r="U722" t="s">
        <v>11407</v>
      </c>
      <c r="V722" t="s">
        <v>11408</v>
      </c>
      <c r="W722" t="s">
        <v>11409</v>
      </c>
      <c r="X722" t="s">
        <v>11410</v>
      </c>
      <c r="Y722" t="s">
        <v>11411</v>
      </c>
      <c r="Z722" t="s">
        <v>11412</v>
      </c>
      <c r="AA722" t="s">
        <v>11413</v>
      </c>
      <c r="AB722" t="s">
        <v>11414</v>
      </c>
      <c r="AC722" t="s">
        <v>74</v>
      </c>
      <c r="AD722" t="s">
        <v>74</v>
      </c>
      <c r="AE722" t="s">
        <v>74</v>
      </c>
      <c r="AF722" t="s">
        <v>74</v>
      </c>
      <c r="AG722">
        <v>43</v>
      </c>
      <c r="AH722">
        <v>30</v>
      </c>
      <c r="AI722">
        <v>35</v>
      </c>
      <c r="AJ722">
        <v>1</v>
      </c>
      <c r="AK722">
        <v>44</v>
      </c>
      <c r="AL722" t="s">
        <v>613</v>
      </c>
      <c r="AM722" t="s">
        <v>678</v>
      </c>
      <c r="AN722" t="s">
        <v>4336</v>
      </c>
      <c r="AO722" t="s">
        <v>5597</v>
      </c>
      <c r="AP722" t="s">
        <v>74</v>
      </c>
      <c r="AQ722" t="s">
        <v>74</v>
      </c>
      <c r="AR722" t="s">
        <v>5599</v>
      </c>
      <c r="AS722" t="s">
        <v>5600</v>
      </c>
      <c r="AT722" t="s">
        <v>10218</v>
      </c>
      <c r="AU722">
        <v>2006</v>
      </c>
      <c r="AV722">
        <v>29</v>
      </c>
      <c r="AW722">
        <v>12</v>
      </c>
      <c r="AX722" t="s">
        <v>74</v>
      </c>
      <c r="AY722" t="s">
        <v>74</v>
      </c>
      <c r="AZ722" t="s">
        <v>74</v>
      </c>
      <c r="BA722" t="s">
        <v>74</v>
      </c>
      <c r="BB722">
        <v>1045</v>
      </c>
      <c r="BC722">
        <v>1051</v>
      </c>
      <c r="BD722" t="s">
        <v>74</v>
      </c>
      <c r="BE722" t="s">
        <v>11415</v>
      </c>
      <c r="BF722" t="str">
        <f>HYPERLINK("http://dx.doi.org/10.1007/s00300-006-0148-z","http://dx.doi.org/10.1007/s00300-006-0148-z")</f>
        <v>http://dx.doi.org/10.1007/s00300-006-0148-z</v>
      </c>
      <c r="BG722" t="s">
        <v>74</v>
      </c>
      <c r="BH722" t="s">
        <v>74</v>
      </c>
      <c r="BI722">
        <v>7</v>
      </c>
      <c r="BJ722" t="s">
        <v>5602</v>
      </c>
      <c r="BK722" t="s">
        <v>97</v>
      </c>
      <c r="BL722" t="s">
        <v>5603</v>
      </c>
      <c r="BM722" t="s">
        <v>11354</v>
      </c>
      <c r="BN722" t="s">
        <v>74</v>
      </c>
      <c r="BO722" t="s">
        <v>3355</v>
      </c>
      <c r="BP722" t="s">
        <v>74</v>
      </c>
      <c r="BQ722" t="s">
        <v>74</v>
      </c>
      <c r="BR722" t="s">
        <v>100</v>
      </c>
      <c r="BS722" t="s">
        <v>11416</v>
      </c>
      <c r="BT722" t="str">
        <f>HYPERLINK("https%3A%2F%2Fwww.webofscience.com%2Fwos%2Fwoscc%2Ffull-record%2FWOS:000241219600006","View Full Record in Web of Science")</f>
        <v>View Full Record in Web of Science</v>
      </c>
    </row>
    <row r="723" spans="1:72" x14ac:dyDescent="0.15">
      <c r="A723" t="s">
        <v>72</v>
      </c>
      <c r="B723" t="s">
        <v>11417</v>
      </c>
      <c r="C723" t="s">
        <v>74</v>
      </c>
      <c r="D723" t="s">
        <v>74</v>
      </c>
      <c r="E723" t="s">
        <v>74</v>
      </c>
      <c r="F723" t="s">
        <v>11418</v>
      </c>
      <c r="G723" t="s">
        <v>74</v>
      </c>
      <c r="H723" t="s">
        <v>74</v>
      </c>
      <c r="I723" t="s">
        <v>11419</v>
      </c>
      <c r="J723" t="s">
        <v>5588</v>
      </c>
      <c r="K723" t="s">
        <v>74</v>
      </c>
      <c r="L723" t="s">
        <v>74</v>
      </c>
      <c r="M723" t="s">
        <v>78</v>
      </c>
      <c r="N723" t="s">
        <v>79</v>
      </c>
      <c r="O723" t="s">
        <v>74</v>
      </c>
      <c r="P723" t="s">
        <v>74</v>
      </c>
      <c r="Q723" t="s">
        <v>74</v>
      </c>
      <c r="R723" t="s">
        <v>74</v>
      </c>
      <c r="S723" t="s">
        <v>74</v>
      </c>
      <c r="T723" t="s">
        <v>74</v>
      </c>
      <c r="U723" t="s">
        <v>11420</v>
      </c>
      <c r="V723" t="s">
        <v>11421</v>
      </c>
      <c r="W723" t="s">
        <v>4654</v>
      </c>
      <c r="X723" t="s">
        <v>514</v>
      </c>
      <c r="Y723" t="s">
        <v>11422</v>
      </c>
      <c r="Z723" t="s">
        <v>11423</v>
      </c>
      <c r="AA723" t="s">
        <v>11424</v>
      </c>
      <c r="AB723" t="s">
        <v>74</v>
      </c>
      <c r="AC723" t="s">
        <v>4321</v>
      </c>
      <c r="AD723" t="s">
        <v>158</v>
      </c>
      <c r="AE723" t="s">
        <v>74</v>
      </c>
      <c r="AF723" t="s">
        <v>74</v>
      </c>
      <c r="AG723">
        <v>44</v>
      </c>
      <c r="AH723">
        <v>25</v>
      </c>
      <c r="AI723">
        <v>31</v>
      </c>
      <c r="AJ723">
        <v>1</v>
      </c>
      <c r="AK723">
        <v>96</v>
      </c>
      <c r="AL723" t="s">
        <v>613</v>
      </c>
      <c r="AM723" t="s">
        <v>678</v>
      </c>
      <c r="AN723" t="s">
        <v>679</v>
      </c>
      <c r="AO723" t="s">
        <v>5597</v>
      </c>
      <c r="AP723" t="s">
        <v>5598</v>
      </c>
      <c r="AQ723" t="s">
        <v>74</v>
      </c>
      <c r="AR723" t="s">
        <v>5599</v>
      </c>
      <c r="AS723" t="s">
        <v>5600</v>
      </c>
      <c r="AT723" t="s">
        <v>10218</v>
      </c>
      <c r="AU723">
        <v>2006</v>
      </c>
      <c r="AV723">
        <v>29</v>
      </c>
      <c r="AW723">
        <v>12</v>
      </c>
      <c r="AX723" t="s">
        <v>74</v>
      </c>
      <c r="AY723" t="s">
        <v>74</v>
      </c>
      <c r="AZ723" t="s">
        <v>74</v>
      </c>
      <c r="BA723" t="s">
        <v>74</v>
      </c>
      <c r="BB723">
        <v>1052</v>
      </c>
      <c r="BC723">
        <v>1062</v>
      </c>
      <c r="BD723" t="s">
        <v>74</v>
      </c>
      <c r="BE723" t="s">
        <v>11425</v>
      </c>
      <c r="BF723" t="str">
        <f>HYPERLINK("http://dx.doi.org/10.1007/s00300-006-0149-y","http://dx.doi.org/10.1007/s00300-006-0149-y")</f>
        <v>http://dx.doi.org/10.1007/s00300-006-0149-y</v>
      </c>
      <c r="BG723" t="s">
        <v>74</v>
      </c>
      <c r="BH723" t="s">
        <v>74</v>
      </c>
      <c r="BI723">
        <v>11</v>
      </c>
      <c r="BJ723" t="s">
        <v>5602</v>
      </c>
      <c r="BK723" t="s">
        <v>97</v>
      </c>
      <c r="BL723" t="s">
        <v>5603</v>
      </c>
      <c r="BM723" t="s">
        <v>11354</v>
      </c>
      <c r="BN723" t="s">
        <v>74</v>
      </c>
      <c r="BO723" t="s">
        <v>74</v>
      </c>
      <c r="BP723" t="s">
        <v>74</v>
      </c>
      <c r="BQ723" t="s">
        <v>74</v>
      </c>
      <c r="BR723" t="s">
        <v>100</v>
      </c>
      <c r="BS723" t="s">
        <v>11426</v>
      </c>
      <c r="BT723" t="str">
        <f>HYPERLINK("https%3A%2F%2Fwww.webofscience.com%2Fwos%2Fwoscc%2Ffull-record%2FWOS:000241219600007","View Full Record in Web of Science")</f>
        <v>View Full Record in Web of Science</v>
      </c>
    </row>
    <row r="724" spans="1:72" x14ac:dyDescent="0.15">
      <c r="A724" t="s">
        <v>72</v>
      </c>
      <c r="B724" t="s">
        <v>11427</v>
      </c>
      <c r="C724" t="s">
        <v>74</v>
      </c>
      <c r="D724" t="s">
        <v>74</v>
      </c>
      <c r="E724" t="s">
        <v>74</v>
      </c>
      <c r="F724" t="s">
        <v>11428</v>
      </c>
      <c r="G724" t="s">
        <v>74</v>
      </c>
      <c r="H724" t="s">
        <v>74</v>
      </c>
      <c r="I724" t="s">
        <v>11429</v>
      </c>
      <c r="J724" t="s">
        <v>5588</v>
      </c>
      <c r="K724" t="s">
        <v>74</v>
      </c>
      <c r="L724" t="s">
        <v>74</v>
      </c>
      <c r="M724" t="s">
        <v>78</v>
      </c>
      <c r="N724" t="s">
        <v>79</v>
      </c>
      <c r="O724" t="s">
        <v>74</v>
      </c>
      <c r="P724" t="s">
        <v>74</v>
      </c>
      <c r="Q724" t="s">
        <v>74</v>
      </c>
      <c r="R724" t="s">
        <v>74</v>
      </c>
      <c r="S724" t="s">
        <v>74</v>
      </c>
      <c r="T724" t="s">
        <v>74</v>
      </c>
      <c r="U724" t="s">
        <v>11430</v>
      </c>
      <c r="V724" t="s">
        <v>11431</v>
      </c>
      <c r="W724" t="s">
        <v>11432</v>
      </c>
      <c r="X724" t="s">
        <v>11433</v>
      </c>
      <c r="Y724" t="s">
        <v>11434</v>
      </c>
      <c r="Z724" t="s">
        <v>11435</v>
      </c>
      <c r="AA724" t="s">
        <v>11436</v>
      </c>
      <c r="AB724" t="s">
        <v>11437</v>
      </c>
      <c r="AC724" t="s">
        <v>74</v>
      </c>
      <c r="AD724" t="s">
        <v>74</v>
      </c>
      <c r="AE724" t="s">
        <v>74</v>
      </c>
      <c r="AF724" t="s">
        <v>74</v>
      </c>
      <c r="AG724">
        <v>27</v>
      </c>
      <c r="AH724">
        <v>23</v>
      </c>
      <c r="AI724">
        <v>25</v>
      </c>
      <c r="AJ724">
        <v>0</v>
      </c>
      <c r="AK724">
        <v>3</v>
      </c>
      <c r="AL724" t="s">
        <v>613</v>
      </c>
      <c r="AM724" t="s">
        <v>678</v>
      </c>
      <c r="AN724" t="s">
        <v>679</v>
      </c>
      <c r="AO724" t="s">
        <v>5597</v>
      </c>
      <c r="AP724" t="s">
        <v>5598</v>
      </c>
      <c r="AQ724" t="s">
        <v>74</v>
      </c>
      <c r="AR724" t="s">
        <v>5599</v>
      </c>
      <c r="AS724" t="s">
        <v>5600</v>
      </c>
      <c r="AT724" t="s">
        <v>10218</v>
      </c>
      <c r="AU724">
        <v>2006</v>
      </c>
      <c r="AV724">
        <v>29</v>
      </c>
      <c r="AW724">
        <v>12</v>
      </c>
      <c r="AX724" t="s">
        <v>74</v>
      </c>
      <c r="AY724" t="s">
        <v>74</v>
      </c>
      <c r="AZ724" t="s">
        <v>74</v>
      </c>
      <c r="BA724" t="s">
        <v>74</v>
      </c>
      <c r="BB724">
        <v>1071</v>
      </c>
      <c r="BC724">
        <v>1076</v>
      </c>
      <c r="BD724" t="s">
        <v>74</v>
      </c>
      <c r="BE724" t="s">
        <v>11438</v>
      </c>
      <c r="BF724" t="str">
        <f>HYPERLINK("http://dx.doi.org/10.1007/s00300-006-0151-4","http://dx.doi.org/10.1007/s00300-006-0151-4")</f>
        <v>http://dx.doi.org/10.1007/s00300-006-0151-4</v>
      </c>
      <c r="BG724" t="s">
        <v>74</v>
      </c>
      <c r="BH724" t="s">
        <v>74</v>
      </c>
      <c r="BI724">
        <v>6</v>
      </c>
      <c r="BJ724" t="s">
        <v>5602</v>
      </c>
      <c r="BK724" t="s">
        <v>97</v>
      </c>
      <c r="BL724" t="s">
        <v>5603</v>
      </c>
      <c r="BM724" t="s">
        <v>11354</v>
      </c>
      <c r="BN724" t="s">
        <v>74</v>
      </c>
      <c r="BO724" t="s">
        <v>74</v>
      </c>
      <c r="BP724" t="s">
        <v>74</v>
      </c>
      <c r="BQ724" t="s">
        <v>74</v>
      </c>
      <c r="BR724" t="s">
        <v>100</v>
      </c>
      <c r="BS724" t="s">
        <v>11439</v>
      </c>
      <c r="BT724" t="str">
        <f>HYPERLINK("https%3A%2F%2Fwww.webofscience.com%2Fwos%2Fwoscc%2Ffull-record%2FWOS:000241219600009","View Full Record in Web of Science")</f>
        <v>View Full Record in Web of Science</v>
      </c>
    </row>
    <row r="725" spans="1:72" x14ac:dyDescent="0.15">
      <c r="A725" t="s">
        <v>72</v>
      </c>
      <c r="B725" t="s">
        <v>11440</v>
      </c>
      <c r="C725" t="s">
        <v>74</v>
      </c>
      <c r="D725" t="s">
        <v>74</v>
      </c>
      <c r="E725" t="s">
        <v>74</v>
      </c>
      <c r="F725" t="s">
        <v>11441</v>
      </c>
      <c r="G725" t="s">
        <v>74</v>
      </c>
      <c r="H725" t="s">
        <v>74</v>
      </c>
      <c r="I725" t="s">
        <v>11442</v>
      </c>
      <c r="J725" t="s">
        <v>5588</v>
      </c>
      <c r="K725" t="s">
        <v>74</v>
      </c>
      <c r="L725" t="s">
        <v>74</v>
      </c>
      <c r="M725" t="s">
        <v>78</v>
      </c>
      <c r="N725" t="s">
        <v>79</v>
      </c>
      <c r="O725" t="s">
        <v>74</v>
      </c>
      <c r="P725" t="s">
        <v>74</v>
      </c>
      <c r="Q725" t="s">
        <v>74</v>
      </c>
      <c r="R725" t="s">
        <v>74</v>
      </c>
      <c r="S725" t="s">
        <v>74</v>
      </c>
      <c r="T725" t="s">
        <v>74</v>
      </c>
      <c r="U725" t="s">
        <v>11443</v>
      </c>
      <c r="V725" t="s">
        <v>11444</v>
      </c>
      <c r="W725" t="s">
        <v>4654</v>
      </c>
      <c r="X725" t="s">
        <v>514</v>
      </c>
      <c r="Y725" t="s">
        <v>11445</v>
      </c>
      <c r="Z725" t="s">
        <v>11446</v>
      </c>
      <c r="AA725" t="s">
        <v>11447</v>
      </c>
      <c r="AB725" t="s">
        <v>11448</v>
      </c>
      <c r="AC725" t="s">
        <v>1538</v>
      </c>
      <c r="AD725" t="s">
        <v>1254</v>
      </c>
      <c r="AE725" t="s">
        <v>74</v>
      </c>
      <c r="AF725" t="s">
        <v>74</v>
      </c>
      <c r="AG725">
        <v>36</v>
      </c>
      <c r="AH725">
        <v>52</v>
      </c>
      <c r="AI725">
        <v>52</v>
      </c>
      <c r="AJ725">
        <v>0</v>
      </c>
      <c r="AK725">
        <v>36</v>
      </c>
      <c r="AL725" t="s">
        <v>613</v>
      </c>
      <c r="AM725" t="s">
        <v>678</v>
      </c>
      <c r="AN725" t="s">
        <v>5667</v>
      </c>
      <c r="AO725" t="s">
        <v>5597</v>
      </c>
      <c r="AP725" t="s">
        <v>5598</v>
      </c>
      <c r="AQ725" t="s">
        <v>74</v>
      </c>
      <c r="AR725" t="s">
        <v>5599</v>
      </c>
      <c r="AS725" t="s">
        <v>5600</v>
      </c>
      <c r="AT725" t="s">
        <v>10218</v>
      </c>
      <c r="AU725">
        <v>2006</v>
      </c>
      <c r="AV725">
        <v>29</v>
      </c>
      <c r="AW725">
        <v>12</v>
      </c>
      <c r="AX725" t="s">
        <v>74</v>
      </c>
      <c r="AY725" t="s">
        <v>74</v>
      </c>
      <c r="AZ725" t="s">
        <v>74</v>
      </c>
      <c r="BA725" t="s">
        <v>74</v>
      </c>
      <c r="BB725">
        <v>1077</v>
      </c>
      <c r="BC725">
        <v>1083</v>
      </c>
      <c r="BD725" t="s">
        <v>74</v>
      </c>
      <c r="BE725" t="s">
        <v>11449</v>
      </c>
      <c r="BF725" t="str">
        <f>HYPERLINK("http://dx.doi.org/10.1007/s00300-006-0152-3","http://dx.doi.org/10.1007/s00300-006-0152-3")</f>
        <v>http://dx.doi.org/10.1007/s00300-006-0152-3</v>
      </c>
      <c r="BG725" t="s">
        <v>74</v>
      </c>
      <c r="BH725" t="s">
        <v>74</v>
      </c>
      <c r="BI725">
        <v>7</v>
      </c>
      <c r="BJ725" t="s">
        <v>5602</v>
      </c>
      <c r="BK725" t="s">
        <v>97</v>
      </c>
      <c r="BL725" t="s">
        <v>5603</v>
      </c>
      <c r="BM725" t="s">
        <v>11354</v>
      </c>
      <c r="BN725" t="s">
        <v>74</v>
      </c>
      <c r="BO725" t="s">
        <v>74</v>
      </c>
      <c r="BP725" t="s">
        <v>74</v>
      </c>
      <c r="BQ725" t="s">
        <v>74</v>
      </c>
      <c r="BR725" t="s">
        <v>100</v>
      </c>
      <c r="BS725" t="s">
        <v>11450</v>
      </c>
      <c r="BT725" t="str">
        <f>HYPERLINK("https%3A%2F%2Fwww.webofscience.com%2Fwos%2Fwoscc%2Ffull-record%2FWOS:000241219600010","View Full Record in Web of Science")</f>
        <v>View Full Record in Web of Science</v>
      </c>
    </row>
    <row r="726" spans="1:72" x14ac:dyDescent="0.15">
      <c r="A726" t="s">
        <v>72</v>
      </c>
      <c r="B726" t="s">
        <v>11451</v>
      </c>
      <c r="C726" t="s">
        <v>74</v>
      </c>
      <c r="D726" t="s">
        <v>74</v>
      </c>
      <c r="E726" t="s">
        <v>74</v>
      </c>
      <c r="F726" t="s">
        <v>11452</v>
      </c>
      <c r="G726" t="s">
        <v>74</v>
      </c>
      <c r="H726" t="s">
        <v>74</v>
      </c>
      <c r="I726" t="s">
        <v>11453</v>
      </c>
      <c r="J726" t="s">
        <v>11454</v>
      </c>
      <c r="K726" t="s">
        <v>74</v>
      </c>
      <c r="L726" t="s">
        <v>74</v>
      </c>
      <c r="M726" t="s">
        <v>830</v>
      </c>
      <c r="N726" t="s">
        <v>79</v>
      </c>
      <c r="O726" t="s">
        <v>74</v>
      </c>
      <c r="P726" t="s">
        <v>74</v>
      </c>
      <c r="Q726" t="s">
        <v>74</v>
      </c>
      <c r="R726" t="s">
        <v>74</v>
      </c>
      <c r="S726" t="s">
        <v>74</v>
      </c>
      <c r="T726" t="s">
        <v>11455</v>
      </c>
      <c r="U726" t="s">
        <v>11456</v>
      </c>
      <c r="V726" t="s">
        <v>11457</v>
      </c>
      <c r="W726" t="s">
        <v>11458</v>
      </c>
      <c r="X726" t="s">
        <v>11459</v>
      </c>
      <c r="Y726" t="s">
        <v>11460</v>
      </c>
      <c r="Z726" t="s">
        <v>11461</v>
      </c>
      <c r="AA726" t="s">
        <v>11462</v>
      </c>
      <c r="AB726" t="s">
        <v>11463</v>
      </c>
      <c r="AC726" t="s">
        <v>74</v>
      </c>
      <c r="AD726" t="s">
        <v>74</v>
      </c>
      <c r="AE726" t="s">
        <v>74</v>
      </c>
      <c r="AF726" t="s">
        <v>74</v>
      </c>
      <c r="AG726">
        <v>49</v>
      </c>
      <c r="AH726">
        <v>10</v>
      </c>
      <c r="AI726">
        <v>30</v>
      </c>
      <c r="AJ726">
        <v>4</v>
      </c>
      <c r="AK726">
        <v>54</v>
      </c>
      <c r="AL726" t="s">
        <v>11464</v>
      </c>
      <c r="AM726" t="s">
        <v>860</v>
      </c>
      <c r="AN726" t="s">
        <v>11465</v>
      </c>
      <c r="AO726" t="s">
        <v>11466</v>
      </c>
      <c r="AP726" t="s">
        <v>74</v>
      </c>
      <c r="AQ726" t="s">
        <v>74</v>
      </c>
      <c r="AR726" t="s">
        <v>11467</v>
      </c>
      <c r="AS726" t="s">
        <v>11468</v>
      </c>
      <c r="AT726" t="s">
        <v>10218</v>
      </c>
      <c r="AU726">
        <v>2006</v>
      </c>
      <c r="AV726">
        <v>18</v>
      </c>
      <c r="AW726">
        <v>11</v>
      </c>
      <c r="AX726" t="s">
        <v>74</v>
      </c>
      <c r="AY726" t="s">
        <v>74</v>
      </c>
      <c r="AZ726" t="s">
        <v>74</v>
      </c>
      <c r="BA726" t="s">
        <v>74</v>
      </c>
      <c r="BB726">
        <v>1565</v>
      </c>
      <c r="BC726">
        <v>1574</v>
      </c>
      <c r="BD726" t="s">
        <v>74</v>
      </c>
      <c r="BE726" t="s">
        <v>74</v>
      </c>
      <c r="BF726" t="s">
        <v>74</v>
      </c>
      <c r="BG726" t="s">
        <v>74</v>
      </c>
      <c r="BH726" t="s">
        <v>74</v>
      </c>
      <c r="BI726">
        <v>10</v>
      </c>
      <c r="BJ726" t="s">
        <v>11469</v>
      </c>
      <c r="BK726" t="s">
        <v>97</v>
      </c>
      <c r="BL726" t="s">
        <v>335</v>
      </c>
      <c r="BM726" t="s">
        <v>11470</v>
      </c>
      <c r="BN726" t="s">
        <v>74</v>
      </c>
      <c r="BO726" t="s">
        <v>74</v>
      </c>
      <c r="BP726" t="s">
        <v>74</v>
      </c>
      <c r="BQ726" t="s">
        <v>74</v>
      </c>
      <c r="BR726" t="s">
        <v>100</v>
      </c>
      <c r="BS726" t="s">
        <v>11471</v>
      </c>
      <c r="BT726" t="str">
        <f>HYPERLINK("https%3A%2F%2Fwww.webofscience.com%2Fwos%2Fwoscc%2Ffull-record%2FWOS:000242387400019","View Full Record in Web of Science")</f>
        <v>View Full Record in Web of Science</v>
      </c>
    </row>
    <row r="727" spans="1:72" x14ac:dyDescent="0.15">
      <c r="A727" t="s">
        <v>72</v>
      </c>
      <c r="B727" t="s">
        <v>11472</v>
      </c>
      <c r="C727" t="s">
        <v>74</v>
      </c>
      <c r="D727" t="s">
        <v>74</v>
      </c>
      <c r="E727" t="s">
        <v>74</v>
      </c>
      <c r="F727" t="s">
        <v>11473</v>
      </c>
      <c r="G727" t="s">
        <v>74</v>
      </c>
      <c r="H727" t="s">
        <v>74</v>
      </c>
      <c r="I727" t="s">
        <v>11474</v>
      </c>
      <c r="J727" t="s">
        <v>11475</v>
      </c>
      <c r="K727" t="s">
        <v>74</v>
      </c>
      <c r="L727" t="s">
        <v>74</v>
      </c>
      <c r="M727" t="s">
        <v>78</v>
      </c>
      <c r="N727" t="s">
        <v>79</v>
      </c>
      <c r="O727" t="s">
        <v>74</v>
      </c>
      <c r="P727" t="s">
        <v>74</v>
      </c>
      <c r="Q727" t="s">
        <v>74</v>
      </c>
      <c r="R727" t="s">
        <v>74</v>
      </c>
      <c r="S727" t="s">
        <v>74</v>
      </c>
      <c r="T727" t="s">
        <v>11476</v>
      </c>
      <c r="U727" t="s">
        <v>11477</v>
      </c>
      <c r="V727" t="s">
        <v>11478</v>
      </c>
      <c r="W727" t="s">
        <v>11479</v>
      </c>
      <c r="X727" t="s">
        <v>11480</v>
      </c>
      <c r="Y727" t="s">
        <v>11481</v>
      </c>
      <c r="Z727" t="s">
        <v>11482</v>
      </c>
      <c r="AA727" t="s">
        <v>11483</v>
      </c>
      <c r="AB727" t="s">
        <v>11484</v>
      </c>
      <c r="AC727" t="s">
        <v>74</v>
      </c>
      <c r="AD727" t="s">
        <v>74</v>
      </c>
      <c r="AE727" t="s">
        <v>74</v>
      </c>
      <c r="AF727" t="s">
        <v>74</v>
      </c>
      <c r="AG727">
        <v>32</v>
      </c>
      <c r="AH727">
        <v>45</v>
      </c>
      <c r="AI727">
        <v>48</v>
      </c>
      <c r="AJ727">
        <v>0</v>
      </c>
      <c r="AK727">
        <v>8</v>
      </c>
      <c r="AL727" t="s">
        <v>11226</v>
      </c>
      <c r="AM727" t="s">
        <v>160</v>
      </c>
      <c r="AN727" t="s">
        <v>11227</v>
      </c>
      <c r="AO727" t="s">
        <v>11485</v>
      </c>
      <c r="AP727" t="s">
        <v>74</v>
      </c>
      <c r="AQ727" t="s">
        <v>74</v>
      </c>
      <c r="AR727" t="s">
        <v>11486</v>
      </c>
      <c r="AS727" t="s">
        <v>11487</v>
      </c>
      <c r="AT727" t="s">
        <v>10920</v>
      </c>
      <c r="AU727">
        <v>2006</v>
      </c>
      <c r="AV727">
        <v>65</v>
      </c>
      <c r="AW727">
        <v>2</v>
      </c>
      <c r="AX727" t="s">
        <v>74</v>
      </c>
      <c r="AY727" t="s">
        <v>74</v>
      </c>
      <c r="AZ727" t="s">
        <v>74</v>
      </c>
      <c r="BA727" t="s">
        <v>74</v>
      </c>
      <c r="BB727">
        <v>490</v>
      </c>
      <c r="BC727">
        <v>498</v>
      </c>
      <c r="BD727" t="s">
        <v>74</v>
      </c>
      <c r="BE727" t="s">
        <v>11488</v>
      </c>
      <c r="BF727" t="str">
        <f>HYPERLINK("http://dx.doi.org/10.1002/prot.21114","http://dx.doi.org/10.1002/prot.21114")</f>
        <v>http://dx.doi.org/10.1002/prot.21114</v>
      </c>
      <c r="BG727" t="s">
        <v>74</v>
      </c>
      <c r="BH727" t="s">
        <v>74</v>
      </c>
      <c r="BI727">
        <v>9</v>
      </c>
      <c r="BJ727" t="s">
        <v>9417</v>
      </c>
      <c r="BK727" t="s">
        <v>97</v>
      </c>
      <c r="BL727" t="s">
        <v>9417</v>
      </c>
      <c r="BM727" t="s">
        <v>11489</v>
      </c>
      <c r="BN727">
        <v>16909420</v>
      </c>
      <c r="BO727" t="s">
        <v>74</v>
      </c>
      <c r="BP727" t="s">
        <v>74</v>
      </c>
      <c r="BQ727" t="s">
        <v>74</v>
      </c>
      <c r="BR727" t="s">
        <v>100</v>
      </c>
      <c r="BS727" t="s">
        <v>11490</v>
      </c>
      <c r="BT727" t="str">
        <f>HYPERLINK("https%3A%2F%2Fwww.webofscience.com%2Fwos%2Fwoscc%2Ffull-record%2FWOS:000240748700020","View Full Record in Web of Science")</f>
        <v>View Full Record in Web of Science</v>
      </c>
    </row>
    <row r="728" spans="1:72" x14ac:dyDescent="0.15">
      <c r="A728" t="s">
        <v>72</v>
      </c>
      <c r="B728" t="s">
        <v>11491</v>
      </c>
      <c r="C728" t="s">
        <v>74</v>
      </c>
      <c r="D728" t="s">
        <v>74</v>
      </c>
      <c r="E728" t="s">
        <v>74</v>
      </c>
      <c r="F728" t="s">
        <v>11492</v>
      </c>
      <c r="G728" t="s">
        <v>74</v>
      </c>
      <c r="H728" t="s">
        <v>74</v>
      </c>
      <c r="I728" t="s">
        <v>11493</v>
      </c>
      <c r="J728" t="s">
        <v>6317</v>
      </c>
      <c r="K728" t="s">
        <v>74</v>
      </c>
      <c r="L728" t="s">
        <v>74</v>
      </c>
      <c r="M728" t="s">
        <v>78</v>
      </c>
      <c r="N728" t="s">
        <v>79</v>
      </c>
      <c r="O728" t="s">
        <v>74</v>
      </c>
      <c r="P728" t="s">
        <v>74</v>
      </c>
      <c r="Q728" t="s">
        <v>74</v>
      </c>
      <c r="R728" t="s">
        <v>74</v>
      </c>
      <c r="S728" t="s">
        <v>74</v>
      </c>
      <c r="T728" t="s">
        <v>74</v>
      </c>
      <c r="U728" t="s">
        <v>11494</v>
      </c>
      <c r="V728" t="s">
        <v>11495</v>
      </c>
      <c r="W728" t="s">
        <v>11496</v>
      </c>
      <c r="X728" t="s">
        <v>11497</v>
      </c>
      <c r="Y728" t="s">
        <v>11498</v>
      </c>
      <c r="Z728" t="s">
        <v>11499</v>
      </c>
      <c r="AA728" t="s">
        <v>11500</v>
      </c>
      <c r="AB728" t="s">
        <v>11501</v>
      </c>
      <c r="AC728" t="s">
        <v>74</v>
      </c>
      <c r="AD728" t="s">
        <v>74</v>
      </c>
      <c r="AE728" t="s">
        <v>74</v>
      </c>
      <c r="AF728" t="s">
        <v>74</v>
      </c>
      <c r="AG728">
        <v>27</v>
      </c>
      <c r="AH728">
        <v>32</v>
      </c>
      <c r="AI728">
        <v>35</v>
      </c>
      <c r="AJ728">
        <v>0</v>
      </c>
      <c r="AK728">
        <v>7</v>
      </c>
      <c r="AL728" t="s">
        <v>817</v>
      </c>
      <c r="AM728" t="s">
        <v>818</v>
      </c>
      <c r="AN728" t="s">
        <v>819</v>
      </c>
      <c r="AO728" t="s">
        <v>6326</v>
      </c>
      <c r="AP728" t="s">
        <v>11502</v>
      </c>
      <c r="AQ728" t="s">
        <v>74</v>
      </c>
      <c r="AR728" t="s">
        <v>6327</v>
      </c>
      <c r="AS728" t="s">
        <v>6328</v>
      </c>
      <c r="AT728" t="s">
        <v>10218</v>
      </c>
      <c r="AU728">
        <v>2006</v>
      </c>
      <c r="AV728">
        <v>25</v>
      </c>
      <c r="AW728" t="s">
        <v>1793</v>
      </c>
      <c r="AX728" t="s">
        <v>74</v>
      </c>
      <c r="AY728" t="s">
        <v>74</v>
      </c>
      <c r="AZ728" t="s">
        <v>74</v>
      </c>
      <c r="BA728" t="s">
        <v>74</v>
      </c>
      <c r="BB728">
        <v>2682</v>
      </c>
      <c r="BC728">
        <v>2687</v>
      </c>
      <c r="BD728" t="s">
        <v>74</v>
      </c>
      <c r="BE728" t="s">
        <v>11503</v>
      </c>
      <c r="BF728" t="str">
        <f>HYPERLINK("http://dx.doi.org/10.1016/j.quascirev.2006.07.009","http://dx.doi.org/10.1016/j.quascirev.2006.07.009")</f>
        <v>http://dx.doi.org/10.1016/j.quascirev.2006.07.009</v>
      </c>
      <c r="BG728" t="s">
        <v>74</v>
      </c>
      <c r="BH728" t="s">
        <v>74</v>
      </c>
      <c r="BI728">
        <v>6</v>
      </c>
      <c r="BJ728" t="s">
        <v>663</v>
      </c>
      <c r="BK728" t="s">
        <v>97</v>
      </c>
      <c r="BL728" t="s">
        <v>664</v>
      </c>
      <c r="BM728" t="s">
        <v>11504</v>
      </c>
      <c r="BN728" t="s">
        <v>74</v>
      </c>
      <c r="BO728" t="s">
        <v>74</v>
      </c>
      <c r="BP728" t="s">
        <v>74</v>
      </c>
      <c r="BQ728" t="s">
        <v>74</v>
      </c>
      <c r="BR728" t="s">
        <v>100</v>
      </c>
      <c r="BS728" t="s">
        <v>11505</v>
      </c>
      <c r="BT728" t="str">
        <f>HYPERLINK("https%3A%2F%2Fwww.webofscience.com%2Fwos%2Fwoscc%2Ffull-record%2FWOS:000243286300003","View Full Record in Web of Science")</f>
        <v>View Full Record in Web of Science</v>
      </c>
    </row>
    <row r="729" spans="1:72" x14ac:dyDescent="0.15">
      <c r="A729" t="s">
        <v>72</v>
      </c>
      <c r="B729" t="s">
        <v>11506</v>
      </c>
      <c r="C729" t="s">
        <v>74</v>
      </c>
      <c r="D729" t="s">
        <v>74</v>
      </c>
      <c r="E729" t="s">
        <v>74</v>
      </c>
      <c r="F729" t="s">
        <v>11507</v>
      </c>
      <c r="G729" t="s">
        <v>74</v>
      </c>
      <c r="H729" t="s">
        <v>74</v>
      </c>
      <c r="I729" t="s">
        <v>11508</v>
      </c>
      <c r="J729" t="s">
        <v>6317</v>
      </c>
      <c r="K729" t="s">
        <v>74</v>
      </c>
      <c r="L729" t="s">
        <v>74</v>
      </c>
      <c r="M729" t="s">
        <v>78</v>
      </c>
      <c r="N729" t="s">
        <v>79</v>
      </c>
      <c r="O729" t="s">
        <v>74</v>
      </c>
      <c r="P729" t="s">
        <v>74</v>
      </c>
      <c r="Q729" t="s">
        <v>74</v>
      </c>
      <c r="R729" t="s">
        <v>74</v>
      </c>
      <c r="S729" t="s">
        <v>74</v>
      </c>
      <c r="T729" t="s">
        <v>74</v>
      </c>
      <c r="U729" t="s">
        <v>11509</v>
      </c>
      <c r="V729" t="s">
        <v>11510</v>
      </c>
      <c r="W729" t="s">
        <v>11511</v>
      </c>
      <c r="X729" t="s">
        <v>11512</v>
      </c>
      <c r="Y729" t="s">
        <v>11513</v>
      </c>
      <c r="Z729" t="s">
        <v>11514</v>
      </c>
      <c r="AA729" t="s">
        <v>11515</v>
      </c>
      <c r="AB729" t="s">
        <v>11516</v>
      </c>
      <c r="AC729" t="s">
        <v>74</v>
      </c>
      <c r="AD729" t="s">
        <v>74</v>
      </c>
      <c r="AE729" t="s">
        <v>74</v>
      </c>
      <c r="AF729" t="s">
        <v>74</v>
      </c>
      <c r="AG729">
        <v>94</v>
      </c>
      <c r="AH729">
        <v>31</v>
      </c>
      <c r="AI729">
        <v>34</v>
      </c>
      <c r="AJ729">
        <v>0</v>
      </c>
      <c r="AK729">
        <v>4</v>
      </c>
      <c r="AL729" t="s">
        <v>817</v>
      </c>
      <c r="AM729" t="s">
        <v>818</v>
      </c>
      <c r="AN729" t="s">
        <v>819</v>
      </c>
      <c r="AO729" t="s">
        <v>6326</v>
      </c>
      <c r="AP729" t="s">
        <v>74</v>
      </c>
      <c r="AQ729" t="s">
        <v>74</v>
      </c>
      <c r="AR729" t="s">
        <v>6327</v>
      </c>
      <c r="AS729" t="s">
        <v>6328</v>
      </c>
      <c r="AT729" t="s">
        <v>10218</v>
      </c>
      <c r="AU729">
        <v>2006</v>
      </c>
      <c r="AV729">
        <v>25</v>
      </c>
      <c r="AW729" t="s">
        <v>1793</v>
      </c>
      <c r="AX729" t="s">
        <v>74</v>
      </c>
      <c r="AY729" t="s">
        <v>74</v>
      </c>
      <c r="AZ729" t="s">
        <v>74</v>
      </c>
      <c r="BA729" t="s">
        <v>74</v>
      </c>
      <c r="BB729">
        <v>2894</v>
      </c>
      <c r="BC729">
        <v>2936</v>
      </c>
      <c r="BD729" t="s">
        <v>74</v>
      </c>
      <c r="BE729" t="s">
        <v>11517</v>
      </c>
      <c r="BF729" t="str">
        <f>HYPERLINK("http://dx.doi.org/10.1016/j.quascirev.2006.02.016","http://dx.doi.org/10.1016/j.quascirev.2006.02.016")</f>
        <v>http://dx.doi.org/10.1016/j.quascirev.2006.02.016</v>
      </c>
      <c r="BG729" t="s">
        <v>74</v>
      </c>
      <c r="BH729" t="s">
        <v>74</v>
      </c>
      <c r="BI729">
        <v>43</v>
      </c>
      <c r="BJ729" t="s">
        <v>663</v>
      </c>
      <c r="BK729" t="s">
        <v>97</v>
      </c>
      <c r="BL729" t="s">
        <v>664</v>
      </c>
      <c r="BM729" t="s">
        <v>11504</v>
      </c>
      <c r="BN729" t="s">
        <v>74</v>
      </c>
      <c r="BO729" t="s">
        <v>1314</v>
      </c>
      <c r="BP729" t="s">
        <v>74</v>
      </c>
      <c r="BQ729" t="s">
        <v>74</v>
      </c>
      <c r="BR729" t="s">
        <v>100</v>
      </c>
      <c r="BS729" t="s">
        <v>11518</v>
      </c>
      <c r="BT729" t="str">
        <f>HYPERLINK("https%3A%2F%2Fwww.webofscience.com%2Fwos%2Fwoscc%2Ffull-record%2FWOS:000243286300017","View Full Record in Web of Science")</f>
        <v>View Full Record in Web of Science</v>
      </c>
    </row>
    <row r="730" spans="1:72" x14ac:dyDescent="0.15">
      <c r="A730" t="s">
        <v>72</v>
      </c>
      <c r="B730" t="s">
        <v>11519</v>
      </c>
      <c r="C730" t="s">
        <v>74</v>
      </c>
      <c r="D730" t="s">
        <v>74</v>
      </c>
      <c r="E730" t="s">
        <v>74</v>
      </c>
      <c r="F730" t="s">
        <v>11520</v>
      </c>
      <c r="G730" t="s">
        <v>74</v>
      </c>
      <c r="H730" t="s">
        <v>74</v>
      </c>
      <c r="I730" t="s">
        <v>11521</v>
      </c>
      <c r="J730" t="s">
        <v>6317</v>
      </c>
      <c r="K730" t="s">
        <v>74</v>
      </c>
      <c r="L730" t="s">
        <v>74</v>
      </c>
      <c r="M730" t="s">
        <v>78</v>
      </c>
      <c r="N730" t="s">
        <v>79</v>
      </c>
      <c r="O730" t="s">
        <v>74</v>
      </c>
      <c r="P730" t="s">
        <v>74</v>
      </c>
      <c r="Q730" t="s">
        <v>74</v>
      </c>
      <c r="R730" t="s">
        <v>74</v>
      </c>
      <c r="S730" t="s">
        <v>74</v>
      </c>
      <c r="T730" t="s">
        <v>74</v>
      </c>
      <c r="U730" t="s">
        <v>11522</v>
      </c>
      <c r="V730" t="s">
        <v>11523</v>
      </c>
      <c r="W730" t="s">
        <v>11524</v>
      </c>
      <c r="X730" t="s">
        <v>11525</v>
      </c>
      <c r="Y730" t="s">
        <v>11526</v>
      </c>
      <c r="Z730" t="s">
        <v>11527</v>
      </c>
      <c r="AA730" t="s">
        <v>11528</v>
      </c>
      <c r="AB730" t="s">
        <v>11529</v>
      </c>
      <c r="AC730" t="s">
        <v>74</v>
      </c>
      <c r="AD730" t="s">
        <v>74</v>
      </c>
      <c r="AE730" t="s">
        <v>74</v>
      </c>
      <c r="AF730" t="s">
        <v>74</v>
      </c>
      <c r="AG730">
        <v>60</v>
      </c>
      <c r="AH730">
        <v>29</v>
      </c>
      <c r="AI730">
        <v>30</v>
      </c>
      <c r="AJ730">
        <v>1</v>
      </c>
      <c r="AK730">
        <v>6</v>
      </c>
      <c r="AL730" t="s">
        <v>817</v>
      </c>
      <c r="AM730" t="s">
        <v>818</v>
      </c>
      <c r="AN730" t="s">
        <v>819</v>
      </c>
      <c r="AO730" t="s">
        <v>6326</v>
      </c>
      <c r="AP730" t="s">
        <v>74</v>
      </c>
      <c r="AQ730" t="s">
        <v>74</v>
      </c>
      <c r="AR730" t="s">
        <v>6327</v>
      </c>
      <c r="AS730" t="s">
        <v>6328</v>
      </c>
      <c r="AT730" t="s">
        <v>10218</v>
      </c>
      <c r="AU730">
        <v>2006</v>
      </c>
      <c r="AV730">
        <v>25</v>
      </c>
      <c r="AW730" t="s">
        <v>1793</v>
      </c>
      <c r="AX730" t="s">
        <v>74</v>
      </c>
      <c r="AY730" t="s">
        <v>74</v>
      </c>
      <c r="AZ730" t="s">
        <v>74</v>
      </c>
      <c r="BA730" t="s">
        <v>74</v>
      </c>
      <c r="BB730">
        <v>3017</v>
      </c>
      <c r="BC730">
        <v>3028</v>
      </c>
      <c r="BD730" t="s">
        <v>74</v>
      </c>
      <c r="BE730" t="s">
        <v>11530</v>
      </c>
      <c r="BF730" t="str">
        <f>HYPERLINK("http://dx.doi.org/10.1016/j.quascirev.2006.04.009","http://dx.doi.org/10.1016/j.quascirev.2006.04.009")</f>
        <v>http://dx.doi.org/10.1016/j.quascirev.2006.04.009</v>
      </c>
      <c r="BG730" t="s">
        <v>74</v>
      </c>
      <c r="BH730" t="s">
        <v>74</v>
      </c>
      <c r="BI730">
        <v>12</v>
      </c>
      <c r="BJ730" t="s">
        <v>663</v>
      </c>
      <c r="BK730" t="s">
        <v>97</v>
      </c>
      <c r="BL730" t="s">
        <v>664</v>
      </c>
      <c r="BM730" t="s">
        <v>11504</v>
      </c>
      <c r="BN730" t="s">
        <v>74</v>
      </c>
      <c r="BO730" t="s">
        <v>74</v>
      </c>
      <c r="BP730" t="s">
        <v>74</v>
      </c>
      <c r="BQ730" t="s">
        <v>74</v>
      </c>
      <c r="BR730" t="s">
        <v>100</v>
      </c>
      <c r="BS730" t="s">
        <v>11531</v>
      </c>
      <c r="BT730" t="str">
        <f>HYPERLINK("https%3A%2F%2Fwww.webofscience.com%2Fwos%2Fwoscc%2Ffull-record%2FWOS:000243286300022","View Full Record in Web of Science")</f>
        <v>View Full Record in Web of Science</v>
      </c>
    </row>
    <row r="731" spans="1:72" x14ac:dyDescent="0.15">
      <c r="A731" t="s">
        <v>72</v>
      </c>
      <c r="B731" t="s">
        <v>11532</v>
      </c>
      <c r="C731" t="s">
        <v>74</v>
      </c>
      <c r="D731" t="s">
        <v>74</v>
      </c>
      <c r="E731" t="s">
        <v>74</v>
      </c>
      <c r="F731" t="s">
        <v>11533</v>
      </c>
      <c r="G731" t="s">
        <v>74</v>
      </c>
      <c r="H731" t="s">
        <v>74</v>
      </c>
      <c r="I731" t="s">
        <v>11534</v>
      </c>
      <c r="J731" t="s">
        <v>6317</v>
      </c>
      <c r="K731" t="s">
        <v>74</v>
      </c>
      <c r="L731" t="s">
        <v>74</v>
      </c>
      <c r="M731" t="s">
        <v>78</v>
      </c>
      <c r="N731" t="s">
        <v>79</v>
      </c>
      <c r="O731" t="s">
        <v>74</v>
      </c>
      <c r="P731" t="s">
        <v>74</v>
      </c>
      <c r="Q731" t="s">
        <v>74</v>
      </c>
      <c r="R731" t="s">
        <v>74</v>
      </c>
      <c r="S731" t="s">
        <v>74</v>
      </c>
      <c r="T731" t="s">
        <v>74</v>
      </c>
      <c r="U731" t="s">
        <v>11535</v>
      </c>
      <c r="V731" t="s">
        <v>11536</v>
      </c>
      <c r="W731" t="s">
        <v>11537</v>
      </c>
      <c r="X731" t="s">
        <v>11538</v>
      </c>
      <c r="Y731" t="s">
        <v>11539</v>
      </c>
      <c r="Z731" t="s">
        <v>11540</v>
      </c>
      <c r="AA731" t="s">
        <v>11541</v>
      </c>
      <c r="AB731" t="s">
        <v>11542</v>
      </c>
      <c r="AC731" t="s">
        <v>2205</v>
      </c>
      <c r="AD731" t="s">
        <v>2206</v>
      </c>
      <c r="AE731" t="s">
        <v>74</v>
      </c>
      <c r="AF731" t="s">
        <v>74</v>
      </c>
      <c r="AG731">
        <v>66</v>
      </c>
      <c r="AH731">
        <v>16</v>
      </c>
      <c r="AI731">
        <v>18</v>
      </c>
      <c r="AJ731">
        <v>0</v>
      </c>
      <c r="AK731">
        <v>6</v>
      </c>
      <c r="AL731" t="s">
        <v>817</v>
      </c>
      <c r="AM731" t="s">
        <v>818</v>
      </c>
      <c r="AN731" t="s">
        <v>819</v>
      </c>
      <c r="AO731" t="s">
        <v>6326</v>
      </c>
      <c r="AP731" t="s">
        <v>74</v>
      </c>
      <c r="AQ731" t="s">
        <v>74</v>
      </c>
      <c r="AR731" t="s">
        <v>6327</v>
      </c>
      <c r="AS731" t="s">
        <v>6328</v>
      </c>
      <c r="AT731" t="s">
        <v>10218</v>
      </c>
      <c r="AU731">
        <v>2006</v>
      </c>
      <c r="AV731">
        <v>25</v>
      </c>
      <c r="AW731" t="s">
        <v>1793</v>
      </c>
      <c r="AX731" t="s">
        <v>74</v>
      </c>
      <c r="AY731" t="s">
        <v>74</v>
      </c>
      <c r="AZ731" t="s">
        <v>74</v>
      </c>
      <c r="BA731" t="s">
        <v>74</v>
      </c>
      <c r="BB731">
        <v>3029</v>
      </c>
      <c r="BC731">
        <v>3049</v>
      </c>
      <c r="BD731" t="s">
        <v>74</v>
      </c>
      <c r="BE731" t="s">
        <v>11543</v>
      </c>
      <c r="BF731" t="str">
        <f>HYPERLINK("http://dx.doi.org/10.1016/j.quascirev.2006.06.012","http://dx.doi.org/10.1016/j.quascirev.2006.06.012")</f>
        <v>http://dx.doi.org/10.1016/j.quascirev.2006.06.012</v>
      </c>
      <c r="BG731" t="s">
        <v>74</v>
      </c>
      <c r="BH731" t="s">
        <v>74</v>
      </c>
      <c r="BI731">
        <v>21</v>
      </c>
      <c r="BJ731" t="s">
        <v>663</v>
      </c>
      <c r="BK731" t="s">
        <v>97</v>
      </c>
      <c r="BL731" t="s">
        <v>664</v>
      </c>
      <c r="BM731" t="s">
        <v>11504</v>
      </c>
      <c r="BN731" t="s">
        <v>74</v>
      </c>
      <c r="BO731" t="s">
        <v>74</v>
      </c>
      <c r="BP731" t="s">
        <v>74</v>
      </c>
      <c r="BQ731" t="s">
        <v>74</v>
      </c>
      <c r="BR731" t="s">
        <v>100</v>
      </c>
      <c r="BS731" t="s">
        <v>11544</v>
      </c>
      <c r="BT731" t="str">
        <f>HYPERLINK("https%3A%2F%2Fwww.webofscience.com%2Fwos%2Fwoscc%2Ffull-record%2FWOS:000243286300023","View Full Record in Web of Science")</f>
        <v>View Full Record in Web of Science</v>
      </c>
    </row>
    <row r="732" spans="1:72" x14ac:dyDescent="0.15">
      <c r="A732" t="s">
        <v>72</v>
      </c>
      <c r="B732" t="s">
        <v>11545</v>
      </c>
      <c r="C732" t="s">
        <v>74</v>
      </c>
      <c r="D732" t="s">
        <v>74</v>
      </c>
      <c r="E732" t="s">
        <v>74</v>
      </c>
      <c r="F732" t="s">
        <v>11546</v>
      </c>
      <c r="G732" t="s">
        <v>74</v>
      </c>
      <c r="H732" t="s">
        <v>74</v>
      </c>
      <c r="I732" t="s">
        <v>11547</v>
      </c>
      <c r="J732" t="s">
        <v>11548</v>
      </c>
      <c r="K732" t="s">
        <v>74</v>
      </c>
      <c r="L732" t="s">
        <v>74</v>
      </c>
      <c r="M732" t="s">
        <v>78</v>
      </c>
      <c r="N732" t="s">
        <v>176</v>
      </c>
      <c r="O732" t="s">
        <v>11549</v>
      </c>
      <c r="P732" t="s">
        <v>11550</v>
      </c>
      <c r="Q732" t="s">
        <v>11551</v>
      </c>
      <c r="R732" t="s">
        <v>74</v>
      </c>
      <c r="S732" t="s">
        <v>74</v>
      </c>
      <c r="T732" t="s">
        <v>74</v>
      </c>
      <c r="U732" t="s">
        <v>11552</v>
      </c>
      <c r="V732" t="s">
        <v>11553</v>
      </c>
      <c r="W732" t="s">
        <v>11554</v>
      </c>
      <c r="X732" t="s">
        <v>11555</v>
      </c>
      <c r="Y732" t="s">
        <v>11556</v>
      </c>
      <c r="Z732" t="s">
        <v>11557</v>
      </c>
      <c r="AA732" t="s">
        <v>11558</v>
      </c>
      <c r="AB732" t="s">
        <v>11559</v>
      </c>
      <c r="AC732" t="s">
        <v>74</v>
      </c>
      <c r="AD732" t="s">
        <v>74</v>
      </c>
      <c r="AE732" t="s">
        <v>74</v>
      </c>
      <c r="AF732" t="s">
        <v>74</v>
      </c>
      <c r="AG732">
        <v>58</v>
      </c>
      <c r="AH732">
        <v>23</v>
      </c>
      <c r="AI732">
        <v>24</v>
      </c>
      <c r="AJ732">
        <v>1</v>
      </c>
      <c r="AK732">
        <v>6</v>
      </c>
      <c r="AL732" t="s">
        <v>2428</v>
      </c>
      <c r="AM732" t="s">
        <v>2429</v>
      </c>
      <c r="AN732" t="s">
        <v>2430</v>
      </c>
      <c r="AO732" t="s">
        <v>11560</v>
      </c>
      <c r="AP732" t="s">
        <v>74</v>
      </c>
      <c r="AQ732" t="s">
        <v>74</v>
      </c>
      <c r="AR732" t="s">
        <v>11561</v>
      </c>
      <c r="AS732" t="s">
        <v>11562</v>
      </c>
      <c r="AT732" t="s">
        <v>10218</v>
      </c>
      <c r="AU732">
        <v>2006</v>
      </c>
      <c r="AV732">
        <v>58</v>
      </c>
      <c r="AW732">
        <v>5</v>
      </c>
      <c r="AX732" t="s">
        <v>74</v>
      </c>
      <c r="AY732" t="s">
        <v>74</v>
      </c>
      <c r="AZ732" t="s">
        <v>74</v>
      </c>
      <c r="BA732" t="s">
        <v>74</v>
      </c>
      <c r="BB732">
        <v>438</v>
      </c>
      <c r="BC732">
        <v>446</v>
      </c>
      <c r="BD732" t="s">
        <v>74</v>
      </c>
      <c r="BE732" t="s">
        <v>11563</v>
      </c>
      <c r="BF732" t="str">
        <f>HYPERLINK("http://dx.doi.org/10.1111/j.1600-0889.2006.00220.x","http://dx.doi.org/10.1111/j.1600-0889.2006.00220.x")</f>
        <v>http://dx.doi.org/10.1111/j.1600-0889.2006.00220.x</v>
      </c>
      <c r="BG732" t="s">
        <v>74</v>
      </c>
      <c r="BH732" t="s">
        <v>74</v>
      </c>
      <c r="BI732">
        <v>9</v>
      </c>
      <c r="BJ732" t="s">
        <v>3208</v>
      </c>
      <c r="BK732" t="s">
        <v>197</v>
      </c>
      <c r="BL732" t="s">
        <v>3208</v>
      </c>
      <c r="BM732" t="s">
        <v>11564</v>
      </c>
      <c r="BN732" t="s">
        <v>74</v>
      </c>
      <c r="BO732" t="s">
        <v>2155</v>
      </c>
      <c r="BP732" t="s">
        <v>74</v>
      </c>
      <c r="BQ732" t="s">
        <v>74</v>
      </c>
      <c r="BR732" t="s">
        <v>100</v>
      </c>
      <c r="BS732" t="s">
        <v>11565</v>
      </c>
      <c r="BT732" t="str">
        <f>HYPERLINK("https%3A%2F%2Fwww.webofscience.com%2Fwos%2Fwoscc%2Ffull-record%2FWOS:000241347500011","View Full Record in Web of Science")</f>
        <v>View Full Record in Web of Science</v>
      </c>
    </row>
    <row r="733" spans="1:72" x14ac:dyDescent="0.15">
      <c r="A733" t="s">
        <v>72</v>
      </c>
      <c r="B733" t="s">
        <v>11566</v>
      </c>
      <c r="C733" t="s">
        <v>74</v>
      </c>
      <c r="D733" t="s">
        <v>74</v>
      </c>
      <c r="E733" t="s">
        <v>74</v>
      </c>
      <c r="F733" t="s">
        <v>11567</v>
      </c>
      <c r="G733" t="s">
        <v>74</v>
      </c>
      <c r="H733" t="s">
        <v>74</v>
      </c>
      <c r="I733" t="s">
        <v>11568</v>
      </c>
      <c r="J733" t="s">
        <v>11569</v>
      </c>
      <c r="K733" t="s">
        <v>74</v>
      </c>
      <c r="L733" t="s">
        <v>74</v>
      </c>
      <c r="M733" t="s">
        <v>7144</v>
      </c>
      <c r="N733" t="s">
        <v>79</v>
      </c>
      <c r="O733" t="s">
        <v>74</v>
      </c>
      <c r="P733" t="s">
        <v>74</v>
      </c>
      <c r="Q733" t="s">
        <v>74</v>
      </c>
      <c r="R733" t="s">
        <v>74</v>
      </c>
      <c r="S733" t="s">
        <v>74</v>
      </c>
      <c r="T733" t="s">
        <v>74</v>
      </c>
      <c r="U733" t="s">
        <v>11570</v>
      </c>
      <c r="V733" t="s">
        <v>11571</v>
      </c>
      <c r="W733" t="s">
        <v>74</v>
      </c>
      <c r="X733" t="s">
        <v>74</v>
      </c>
      <c r="Y733" t="s">
        <v>11572</v>
      </c>
      <c r="Z733" t="s">
        <v>11573</v>
      </c>
      <c r="AA733" t="s">
        <v>74</v>
      </c>
      <c r="AB733" t="s">
        <v>74</v>
      </c>
      <c r="AC733" t="s">
        <v>74</v>
      </c>
      <c r="AD733" t="s">
        <v>74</v>
      </c>
      <c r="AE733" t="s">
        <v>74</v>
      </c>
      <c r="AF733" t="s">
        <v>74</v>
      </c>
      <c r="AG733">
        <v>68</v>
      </c>
      <c r="AH733">
        <v>0</v>
      </c>
      <c r="AI733">
        <v>0</v>
      </c>
      <c r="AJ733">
        <v>0</v>
      </c>
      <c r="AK733">
        <v>1</v>
      </c>
      <c r="AL733" t="s">
        <v>9551</v>
      </c>
      <c r="AM733" t="s">
        <v>7150</v>
      </c>
      <c r="AN733" t="s">
        <v>11574</v>
      </c>
      <c r="AO733" t="s">
        <v>11575</v>
      </c>
      <c r="AP733" t="s">
        <v>74</v>
      </c>
      <c r="AQ733" t="s">
        <v>74</v>
      </c>
      <c r="AR733" t="s">
        <v>11576</v>
      </c>
      <c r="AS733" t="s">
        <v>11577</v>
      </c>
      <c r="AT733" t="s">
        <v>10540</v>
      </c>
      <c r="AU733">
        <v>2006</v>
      </c>
      <c r="AV733">
        <v>67</v>
      </c>
      <c r="AW733">
        <v>6</v>
      </c>
      <c r="AX733" t="s">
        <v>74</v>
      </c>
      <c r="AY733" t="s">
        <v>74</v>
      </c>
      <c r="AZ733" t="s">
        <v>74</v>
      </c>
      <c r="BA733" t="s">
        <v>74</v>
      </c>
      <c r="BB733">
        <v>442</v>
      </c>
      <c r="BC733">
        <v>451</v>
      </c>
      <c r="BD733" t="s">
        <v>74</v>
      </c>
      <c r="BE733" t="s">
        <v>74</v>
      </c>
      <c r="BF733" t="s">
        <v>74</v>
      </c>
      <c r="BG733" t="s">
        <v>74</v>
      </c>
      <c r="BH733" t="s">
        <v>74</v>
      </c>
      <c r="BI733">
        <v>10</v>
      </c>
      <c r="BJ733" t="s">
        <v>5103</v>
      </c>
      <c r="BK733" t="s">
        <v>97</v>
      </c>
      <c r="BL733" t="s">
        <v>5104</v>
      </c>
      <c r="BM733" t="s">
        <v>11578</v>
      </c>
      <c r="BN733">
        <v>17205791</v>
      </c>
      <c r="BO733" t="s">
        <v>74</v>
      </c>
      <c r="BP733" t="s">
        <v>74</v>
      </c>
      <c r="BQ733" t="s">
        <v>74</v>
      </c>
      <c r="BR733" t="s">
        <v>100</v>
      </c>
      <c r="BS733" t="s">
        <v>11579</v>
      </c>
      <c r="BT733" t="str">
        <f>HYPERLINK("https%3A%2F%2Fwww.webofscience.com%2Fwos%2Fwoscc%2Ffull-record%2FWOS:000243097600003","View Full Record in Web of Science")</f>
        <v>View Full Record in Web of Science</v>
      </c>
    </row>
    <row r="734" spans="1:72" x14ac:dyDescent="0.15">
      <c r="A734" t="s">
        <v>72</v>
      </c>
      <c r="B734" t="s">
        <v>11580</v>
      </c>
      <c r="C734" t="s">
        <v>74</v>
      </c>
      <c r="D734" t="s">
        <v>74</v>
      </c>
      <c r="E734" t="s">
        <v>74</v>
      </c>
      <c r="F734" t="s">
        <v>11581</v>
      </c>
      <c r="G734" t="s">
        <v>74</v>
      </c>
      <c r="H734" t="s">
        <v>74</v>
      </c>
      <c r="I734" t="s">
        <v>11582</v>
      </c>
      <c r="J734" t="s">
        <v>342</v>
      </c>
      <c r="K734" t="s">
        <v>74</v>
      </c>
      <c r="L734" t="s">
        <v>74</v>
      </c>
      <c r="M734" t="s">
        <v>78</v>
      </c>
      <c r="N734" t="s">
        <v>79</v>
      </c>
      <c r="O734" t="s">
        <v>74</v>
      </c>
      <c r="P734" t="s">
        <v>74</v>
      </c>
      <c r="Q734" t="s">
        <v>74</v>
      </c>
      <c r="R734" t="s">
        <v>74</v>
      </c>
      <c r="S734" t="s">
        <v>74</v>
      </c>
      <c r="T734" t="s">
        <v>74</v>
      </c>
      <c r="U734" t="s">
        <v>11583</v>
      </c>
      <c r="V734" t="s">
        <v>11584</v>
      </c>
      <c r="W734" t="s">
        <v>11585</v>
      </c>
      <c r="X734" t="s">
        <v>11586</v>
      </c>
      <c r="Y734" t="s">
        <v>11587</v>
      </c>
      <c r="Z734" t="s">
        <v>11588</v>
      </c>
      <c r="AA734" t="s">
        <v>11589</v>
      </c>
      <c r="AB734" t="s">
        <v>11590</v>
      </c>
      <c r="AC734" t="s">
        <v>74</v>
      </c>
      <c r="AD734" t="s">
        <v>74</v>
      </c>
      <c r="AE734" t="s">
        <v>74</v>
      </c>
      <c r="AF734" t="s">
        <v>74</v>
      </c>
      <c r="AG734">
        <v>97</v>
      </c>
      <c r="AH734">
        <v>40</v>
      </c>
      <c r="AI734">
        <v>42</v>
      </c>
      <c r="AJ734">
        <v>1</v>
      </c>
      <c r="AK734">
        <v>14</v>
      </c>
      <c r="AL734" t="s">
        <v>351</v>
      </c>
      <c r="AM734" t="s">
        <v>352</v>
      </c>
      <c r="AN734" t="s">
        <v>353</v>
      </c>
      <c r="AO734" t="s">
        <v>354</v>
      </c>
      <c r="AP734" t="s">
        <v>355</v>
      </c>
      <c r="AQ734" t="s">
        <v>74</v>
      </c>
      <c r="AR734" t="s">
        <v>356</v>
      </c>
      <c r="AS734" t="s">
        <v>357</v>
      </c>
      <c r="AT734" t="s">
        <v>11591</v>
      </c>
      <c r="AU734">
        <v>2006</v>
      </c>
      <c r="AV734">
        <v>6</v>
      </c>
      <c r="AW734" t="s">
        <v>74</v>
      </c>
      <c r="AX734" t="s">
        <v>74</v>
      </c>
      <c r="AY734" t="s">
        <v>74</v>
      </c>
      <c r="AZ734" t="s">
        <v>74</v>
      </c>
      <c r="BA734" t="s">
        <v>74</v>
      </c>
      <c r="BB734">
        <v>4985</v>
      </c>
      <c r="BC734">
        <v>5008</v>
      </c>
      <c r="BD734" t="s">
        <v>74</v>
      </c>
      <c r="BE734" t="s">
        <v>11592</v>
      </c>
      <c r="BF734" t="str">
        <f>HYPERLINK("http://dx.doi.org/10.5194/acp-6-4985-2006","http://dx.doi.org/10.5194/acp-6-4985-2006")</f>
        <v>http://dx.doi.org/10.5194/acp-6-4985-2006</v>
      </c>
      <c r="BG734" t="s">
        <v>74</v>
      </c>
      <c r="BH734" t="s">
        <v>74</v>
      </c>
      <c r="BI734">
        <v>24</v>
      </c>
      <c r="BJ734" t="s">
        <v>359</v>
      </c>
      <c r="BK734" t="s">
        <v>97</v>
      </c>
      <c r="BL734" t="s">
        <v>360</v>
      </c>
      <c r="BM734" t="s">
        <v>11593</v>
      </c>
      <c r="BN734" t="s">
        <v>74</v>
      </c>
      <c r="BO734" t="s">
        <v>11594</v>
      </c>
      <c r="BP734" t="s">
        <v>74</v>
      </c>
      <c r="BQ734" t="s">
        <v>74</v>
      </c>
      <c r="BR734" t="s">
        <v>100</v>
      </c>
      <c r="BS734" t="s">
        <v>11595</v>
      </c>
      <c r="BT734" t="str">
        <f>HYPERLINK("https%3A%2F%2Fwww.webofscience.com%2Fwos%2Fwoscc%2Ffull-record%2FWOS:000241681800001","View Full Record in Web of Science")</f>
        <v>View Full Record in Web of Science</v>
      </c>
    </row>
    <row r="735" spans="1:72" x14ac:dyDescent="0.15">
      <c r="A735" t="s">
        <v>72</v>
      </c>
      <c r="B735" t="s">
        <v>11596</v>
      </c>
      <c r="C735" t="s">
        <v>74</v>
      </c>
      <c r="D735" t="s">
        <v>74</v>
      </c>
      <c r="E735" t="s">
        <v>74</v>
      </c>
      <c r="F735" t="s">
        <v>11597</v>
      </c>
      <c r="G735" t="s">
        <v>74</v>
      </c>
      <c r="H735" t="s">
        <v>74</v>
      </c>
      <c r="I735" t="s">
        <v>11598</v>
      </c>
      <c r="J735" t="s">
        <v>7439</v>
      </c>
      <c r="K735" t="s">
        <v>74</v>
      </c>
      <c r="L735" t="s">
        <v>74</v>
      </c>
      <c r="M735" t="s">
        <v>78</v>
      </c>
      <c r="N735" t="s">
        <v>79</v>
      </c>
      <c r="O735" t="s">
        <v>74</v>
      </c>
      <c r="P735" t="s">
        <v>74</v>
      </c>
      <c r="Q735" t="s">
        <v>74</v>
      </c>
      <c r="R735" t="s">
        <v>74</v>
      </c>
      <c r="S735" t="s">
        <v>74</v>
      </c>
      <c r="T735" t="s">
        <v>74</v>
      </c>
      <c r="U735" t="s">
        <v>11599</v>
      </c>
      <c r="V735" t="s">
        <v>11600</v>
      </c>
      <c r="W735" t="s">
        <v>11601</v>
      </c>
      <c r="X735" t="s">
        <v>11602</v>
      </c>
      <c r="Y735" t="s">
        <v>11603</v>
      </c>
      <c r="Z735" t="s">
        <v>11604</v>
      </c>
      <c r="AA735" t="s">
        <v>11605</v>
      </c>
      <c r="AB735" t="s">
        <v>74</v>
      </c>
      <c r="AC735" t="s">
        <v>7758</v>
      </c>
      <c r="AD735" t="s">
        <v>1254</v>
      </c>
      <c r="AE735" t="s">
        <v>74</v>
      </c>
      <c r="AF735" t="s">
        <v>74</v>
      </c>
      <c r="AG735">
        <v>46</v>
      </c>
      <c r="AH735">
        <v>44</v>
      </c>
      <c r="AI735">
        <v>48</v>
      </c>
      <c r="AJ735">
        <v>2</v>
      </c>
      <c r="AK735">
        <v>15</v>
      </c>
      <c r="AL735" t="s">
        <v>7239</v>
      </c>
      <c r="AM735" t="s">
        <v>5498</v>
      </c>
      <c r="AN735" t="s">
        <v>7240</v>
      </c>
      <c r="AO735" t="s">
        <v>7448</v>
      </c>
      <c r="AP735" t="s">
        <v>7449</v>
      </c>
      <c r="AQ735" t="s">
        <v>74</v>
      </c>
      <c r="AR735" t="s">
        <v>7450</v>
      </c>
      <c r="AS735" t="s">
        <v>7451</v>
      </c>
      <c r="AT735" t="s">
        <v>11591</v>
      </c>
      <c r="AU735">
        <v>2006</v>
      </c>
      <c r="AV735">
        <v>111</v>
      </c>
      <c r="AW735" t="s">
        <v>11606</v>
      </c>
      <c r="AX735" t="s">
        <v>74</v>
      </c>
      <c r="AY735" t="s">
        <v>74</v>
      </c>
      <c r="AZ735" t="s">
        <v>74</v>
      </c>
      <c r="BA735" t="s">
        <v>74</v>
      </c>
      <c r="BB735" t="s">
        <v>74</v>
      </c>
      <c r="BC735" t="s">
        <v>74</v>
      </c>
      <c r="BD735" t="s">
        <v>11607</v>
      </c>
      <c r="BE735" t="s">
        <v>11608</v>
      </c>
      <c r="BF735" t="str">
        <f>HYPERLINK("http://dx.doi.org/10.1029/2006JD007086","http://dx.doi.org/10.1029/2006JD007086")</f>
        <v>http://dx.doi.org/10.1029/2006JD007086</v>
      </c>
      <c r="BG735" t="s">
        <v>74</v>
      </c>
      <c r="BH735" t="s">
        <v>74</v>
      </c>
      <c r="BI735">
        <v>19</v>
      </c>
      <c r="BJ735" t="s">
        <v>3208</v>
      </c>
      <c r="BK735" t="s">
        <v>97</v>
      </c>
      <c r="BL735" t="s">
        <v>3208</v>
      </c>
      <c r="BM735" t="s">
        <v>11609</v>
      </c>
      <c r="BN735" t="s">
        <v>74</v>
      </c>
      <c r="BO735" t="s">
        <v>124</v>
      </c>
      <c r="BP735" t="s">
        <v>74</v>
      </c>
      <c r="BQ735" t="s">
        <v>74</v>
      </c>
      <c r="BR735" t="s">
        <v>100</v>
      </c>
      <c r="BS735" t="s">
        <v>11610</v>
      </c>
      <c r="BT735" t="str">
        <f>HYPERLINK("https%3A%2F%2Fwww.webofscience.com%2Fwos%2Fwoscc%2Ffull-record%2FWOS:000241866200005","View Full Record in Web of Science")</f>
        <v>View Full Record in Web of Science</v>
      </c>
    </row>
    <row r="736" spans="1:72" x14ac:dyDescent="0.15">
      <c r="A736" t="s">
        <v>72</v>
      </c>
      <c r="B736" t="s">
        <v>11611</v>
      </c>
      <c r="C736" t="s">
        <v>74</v>
      </c>
      <c r="D736" t="s">
        <v>74</v>
      </c>
      <c r="E736" t="s">
        <v>74</v>
      </c>
      <c r="F736" t="s">
        <v>11612</v>
      </c>
      <c r="G736" t="s">
        <v>74</v>
      </c>
      <c r="H736" t="s">
        <v>74</v>
      </c>
      <c r="I736" t="s">
        <v>11613</v>
      </c>
      <c r="J736" t="s">
        <v>7439</v>
      </c>
      <c r="K736" t="s">
        <v>74</v>
      </c>
      <c r="L736" t="s">
        <v>74</v>
      </c>
      <c r="M736" t="s">
        <v>78</v>
      </c>
      <c r="N736" t="s">
        <v>1431</v>
      </c>
      <c r="O736" t="s">
        <v>74</v>
      </c>
      <c r="P736" t="s">
        <v>74</v>
      </c>
      <c r="Q736" t="s">
        <v>74</v>
      </c>
      <c r="R736" t="s">
        <v>74</v>
      </c>
      <c r="S736" t="s">
        <v>74</v>
      </c>
      <c r="T736" t="s">
        <v>74</v>
      </c>
      <c r="U736" t="s">
        <v>11614</v>
      </c>
      <c r="V736" t="s">
        <v>11615</v>
      </c>
      <c r="W736" t="s">
        <v>11616</v>
      </c>
      <c r="X736" t="s">
        <v>11617</v>
      </c>
      <c r="Y736" t="s">
        <v>11618</v>
      </c>
      <c r="Z736" t="s">
        <v>11619</v>
      </c>
      <c r="AA736" t="s">
        <v>11620</v>
      </c>
      <c r="AB736" t="s">
        <v>6842</v>
      </c>
      <c r="AC736" t="s">
        <v>74</v>
      </c>
      <c r="AD736" t="s">
        <v>74</v>
      </c>
      <c r="AE736" t="s">
        <v>74</v>
      </c>
      <c r="AF736" t="s">
        <v>74</v>
      </c>
      <c r="AG736">
        <v>20</v>
      </c>
      <c r="AH736">
        <v>6</v>
      </c>
      <c r="AI736">
        <v>6</v>
      </c>
      <c r="AJ736">
        <v>0</v>
      </c>
      <c r="AK736">
        <v>3</v>
      </c>
      <c r="AL736" t="s">
        <v>7239</v>
      </c>
      <c r="AM736" t="s">
        <v>5498</v>
      </c>
      <c r="AN736" t="s">
        <v>7240</v>
      </c>
      <c r="AO736" t="s">
        <v>7448</v>
      </c>
      <c r="AP736" t="s">
        <v>74</v>
      </c>
      <c r="AQ736" t="s">
        <v>74</v>
      </c>
      <c r="AR736" t="s">
        <v>7450</v>
      </c>
      <c r="AS736" t="s">
        <v>7451</v>
      </c>
      <c r="AT736" t="s">
        <v>11591</v>
      </c>
      <c r="AU736">
        <v>2006</v>
      </c>
      <c r="AV736">
        <v>111</v>
      </c>
      <c r="AW736" t="s">
        <v>11606</v>
      </c>
      <c r="AX736" t="s">
        <v>74</v>
      </c>
      <c r="AY736" t="s">
        <v>74</v>
      </c>
      <c r="AZ736" t="s">
        <v>74</v>
      </c>
      <c r="BA736" t="s">
        <v>74</v>
      </c>
      <c r="BB736" t="s">
        <v>74</v>
      </c>
      <c r="BC736" t="s">
        <v>74</v>
      </c>
      <c r="BD736" t="s">
        <v>11621</v>
      </c>
      <c r="BE736" t="s">
        <v>11622</v>
      </c>
      <c r="BF736" t="str">
        <f>HYPERLINK("http://dx.doi.org/10.1029/2006JD007412","http://dx.doi.org/10.1029/2006JD007412")</f>
        <v>http://dx.doi.org/10.1029/2006JD007412</v>
      </c>
      <c r="BG736" t="s">
        <v>74</v>
      </c>
      <c r="BH736" t="s">
        <v>74</v>
      </c>
      <c r="BI736">
        <v>8</v>
      </c>
      <c r="BJ736" t="s">
        <v>3208</v>
      </c>
      <c r="BK736" t="s">
        <v>97</v>
      </c>
      <c r="BL736" t="s">
        <v>3208</v>
      </c>
      <c r="BM736" t="s">
        <v>11609</v>
      </c>
      <c r="BN736" t="s">
        <v>74</v>
      </c>
      <c r="BO736" t="s">
        <v>124</v>
      </c>
      <c r="BP736" t="s">
        <v>74</v>
      </c>
      <c r="BQ736" t="s">
        <v>74</v>
      </c>
      <c r="BR736" t="s">
        <v>100</v>
      </c>
      <c r="BS736" t="s">
        <v>11623</v>
      </c>
      <c r="BT736" t="str">
        <f>HYPERLINK("https%3A%2F%2Fwww.webofscience.com%2Fwos%2Fwoscc%2Ffull-record%2FWOS:000241866200012","View Full Record in Web of Science")</f>
        <v>View Full Record in Web of Science</v>
      </c>
    </row>
    <row r="737" spans="1:72" x14ac:dyDescent="0.15">
      <c r="A737" t="s">
        <v>72</v>
      </c>
      <c r="B737" t="s">
        <v>11624</v>
      </c>
      <c r="C737" t="s">
        <v>74</v>
      </c>
      <c r="D737" t="s">
        <v>74</v>
      </c>
      <c r="E737" t="s">
        <v>74</v>
      </c>
      <c r="F737" t="s">
        <v>11625</v>
      </c>
      <c r="G737" t="s">
        <v>74</v>
      </c>
      <c r="H737" t="s">
        <v>74</v>
      </c>
      <c r="I737" t="s">
        <v>11626</v>
      </c>
      <c r="J737" t="s">
        <v>7287</v>
      </c>
      <c r="K737" t="s">
        <v>74</v>
      </c>
      <c r="L737" t="s">
        <v>74</v>
      </c>
      <c r="M737" t="s">
        <v>78</v>
      </c>
      <c r="N737" t="s">
        <v>79</v>
      </c>
      <c r="O737" t="s">
        <v>74</v>
      </c>
      <c r="P737" t="s">
        <v>74</v>
      </c>
      <c r="Q737" t="s">
        <v>74</v>
      </c>
      <c r="R737" t="s">
        <v>74</v>
      </c>
      <c r="S737" t="s">
        <v>74</v>
      </c>
      <c r="T737" t="s">
        <v>74</v>
      </c>
      <c r="U737" t="s">
        <v>11627</v>
      </c>
      <c r="V737" t="s">
        <v>11628</v>
      </c>
      <c r="W737" t="s">
        <v>11629</v>
      </c>
      <c r="X737" t="s">
        <v>11630</v>
      </c>
      <c r="Y737" t="s">
        <v>11631</v>
      </c>
      <c r="Z737" t="s">
        <v>11632</v>
      </c>
      <c r="AA737" t="s">
        <v>11633</v>
      </c>
      <c r="AB737" t="s">
        <v>11634</v>
      </c>
      <c r="AC737" t="s">
        <v>74</v>
      </c>
      <c r="AD737" t="s">
        <v>74</v>
      </c>
      <c r="AE737" t="s">
        <v>74</v>
      </c>
      <c r="AF737" t="s">
        <v>74</v>
      </c>
      <c r="AG737">
        <v>44</v>
      </c>
      <c r="AH737">
        <v>19</v>
      </c>
      <c r="AI737">
        <v>21</v>
      </c>
      <c r="AJ737">
        <v>0</v>
      </c>
      <c r="AK737">
        <v>7</v>
      </c>
      <c r="AL737" t="s">
        <v>7239</v>
      </c>
      <c r="AM737" t="s">
        <v>5498</v>
      </c>
      <c r="AN737" t="s">
        <v>7240</v>
      </c>
      <c r="AO737" t="s">
        <v>7296</v>
      </c>
      <c r="AP737" t="s">
        <v>7297</v>
      </c>
      <c r="AQ737" t="s">
        <v>74</v>
      </c>
      <c r="AR737" t="s">
        <v>7298</v>
      </c>
      <c r="AS737" t="s">
        <v>7299</v>
      </c>
      <c r="AT737" t="s">
        <v>11591</v>
      </c>
      <c r="AU737">
        <v>2006</v>
      </c>
      <c r="AV737">
        <v>111</v>
      </c>
      <c r="AW737" t="s">
        <v>11635</v>
      </c>
      <c r="AX737" t="s">
        <v>74</v>
      </c>
      <c r="AY737" t="s">
        <v>74</v>
      </c>
      <c r="AZ737" t="s">
        <v>74</v>
      </c>
      <c r="BA737" t="s">
        <v>74</v>
      </c>
      <c r="BB737" t="s">
        <v>74</v>
      </c>
      <c r="BC737" t="s">
        <v>74</v>
      </c>
      <c r="BD737" t="s">
        <v>11636</v>
      </c>
      <c r="BE737" t="s">
        <v>11637</v>
      </c>
      <c r="BF737" t="str">
        <f>HYPERLINK("http://dx.doi.org/10.1029/2005JC003061","http://dx.doi.org/10.1029/2005JC003061")</f>
        <v>http://dx.doi.org/10.1029/2005JC003061</v>
      </c>
      <c r="BG737" t="s">
        <v>74</v>
      </c>
      <c r="BH737" t="s">
        <v>74</v>
      </c>
      <c r="BI737">
        <v>19</v>
      </c>
      <c r="BJ737" t="s">
        <v>1260</v>
      </c>
      <c r="BK737" t="s">
        <v>97</v>
      </c>
      <c r="BL737" t="s">
        <v>1260</v>
      </c>
      <c r="BM737" t="s">
        <v>11638</v>
      </c>
      <c r="BN737" t="s">
        <v>74</v>
      </c>
      <c r="BO737" t="s">
        <v>124</v>
      </c>
      <c r="BP737" t="s">
        <v>74</v>
      </c>
      <c r="BQ737" t="s">
        <v>74</v>
      </c>
      <c r="BR737" t="s">
        <v>100</v>
      </c>
      <c r="BS737" t="s">
        <v>11639</v>
      </c>
      <c r="BT737" t="str">
        <f>HYPERLINK("https%3A%2F%2Fwww.webofscience.com%2Fwos%2Fwoscc%2Ffull-record%2FWOS:000241866700001","View Full Record in Web of Science")</f>
        <v>View Full Record in Web of Science</v>
      </c>
    </row>
    <row r="738" spans="1:72" x14ac:dyDescent="0.15">
      <c r="A738" t="s">
        <v>72</v>
      </c>
      <c r="B738" t="s">
        <v>11640</v>
      </c>
      <c r="C738" t="s">
        <v>74</v>
      </c>
      <c r="D738" t="s">
        <v>74</v>
      </c>
      <c r="E738" t="s">
        <v>74</v>
      </c>
      <c r="F738" t="s">
        <v>11641</v>
      </c>
      <c r="G738" t="s">
        <v>74</v>
      </c>
      <c r="H738" t="s">
        <v>74</v>
      </c>
      <c r="I738" t="s">
        <v>11642</v>
      </c>
      <c r="J738" t="s">
        <v>11643</v>
      </c>
      <c r="K738" t="s">
        <v>74</v>
      </c>
      <c r="L738" t="s">
        <v>74</v>
      </c>
      <c r="M738" t="s">
        <v>78</v>
      </c>
      <c r="N738" t="s">
        <v>79</v>
      </c>
      <c r="O738" t="s">
        <v>74</v>
      </c>
      <c r="P738" t="s">
        <v>74</v>
      </c>
      <c r="Q738" t="s">
        <v>74</v>
      </c>
      <c r="R738" t="s">
        <v>74</v>
      </c>
      <c r="S738" t="s">
        <v>74</v>
      </c>
      <c r="T738" t="s">
        <v>11644</v>
      </c>
      <c r="U738" t="s">
        <v>11645</v>
      </c>
      <c r="V738" t="s">
        <v>11646</v>
      </c>
      <c r="W738" t="s">
        <v>11647</v>
      </c>
      <c r="X738" t="s">
        <v>11648</v>
      </c>
      <c r="Y738" t="s">
        <v>11649</v>
      </c>
      <c r="Z738" t="s">
        <v>11650</v>
      </c>
      <c r="AA738" t="s">
        <v>11651</v>
      </c>
      <c r="AB738" t="s">
        <v>11652</v>
      </c>
      <c r="AC738" t="s">
        <v>74</v>
      </c>
      <c r="AD738" t="s">
        <v>74</v>
      </c>
      <c r="AE738" t="s">
        <v>74</v>
      </c>
      <c r="AF738" t="s">
        <v>74</v>
      </c>
      <c r="AG738">
        <v>36</v>
      </c>
      <c r="AH738">
        <v>126</v>
      </c>
      <c r="AI738">
        <v>142</v>
      </c>
      <c r="AJ738">
        <v>3</v>
      </c>
      <c r="AK738">
        <v>59</v>
      </c>
      <c r="AL738" t="s">
        <v>11653</v>
      </c>
      <c r="AM738" t="s">
        <v>5498</v>
      </c>
      <c r="AN738" t="s">
        <v>11654</v>
      </c>
      <c r="AO738" t="s">
        <v>11655</v>
      </c>
      <c r="AP738" t="s">
        <v>74</v>
      </c>
      <c r="AQ738" t="s">
        <v>74</v>
      </c>
      <c r="AR738" t="s">
        <v>11656</v>
      </c>
      <c r="AS738" t="s">
        <v>11657</v>
      </c>
      <c r="AT738" t="s">
        <v>11591</v>
      </c>
      <c r="AU738">
        <v>2006</v>
      </c>
      <c r="AV738">
        <v>103</v>
      </c>
      <c r="AW738">
        <v>44</v>
      </c>
      <c r="AX738" t="s">
        <v>74</v>
      </c>
      <c r="AY738" t="s">
        <v>74</v>
      </c>
      <c r="AZ738" t="s">
        <v>74</v>
      </c>
      <c r="BA738" t="s">
        <v>74</v>
      </c>
      <c r="BB738">
        <v>16089</v>
      </c>
      <c r="BC738">
        <v>16094</v>
      </c>
      <c r="BD738" t="s">
        <v>74</v>
      </c>
      <c r="BE738" t="s">
        <v>11658</v>
      </c>
      <c r="BF738" t="str">
        <f>HYPERLINK("http://dx.doi.org/10.1073/pnas.0604210103","http://dx.doi.org/10.1073/pnas.0604210103")</f>
        <v>http://dx.doi.org/10.1073/pnas.0604210103</v>
      </c>
      <c r="BG738" t="s">
        <v>74</v>
      </c>
      <c r="BH738" t="s">
        <v>74</v>
      </c>
      <c r="BI738">
        <v>6</v>
      </c>
      <c r="BJ738" t="s">
        <v>884</v>
      </c>
      <c r="BK738" t="s">
        <v>97</v>
      </c>
      <c r="BL738" t="s">
        <v>885</v>
      </c>
      <c r="BM738" t="s">
        <v>11659</v>
      </c>
      <c r="BN738">
        <v>17060639</v>
      </c>
      <c r="BO738" t="s">
        <v>1314</v>
      </c>
      <c r="BP738" t="s">
        <v>74</v>
      </c>
      <c r="BQ738" t="s">
        <v>74</v>
      </c>
      <c r="BR738" t="s">
        <v>100</v>
      </c>
      <c r="BS738" t="s">
        <v>11660</v>
      </c>
      <c r="BT738" t="str">
        <f>HYPERLINK("https%3A%2F%2Fwww.webofscience.com%2Fwos%2Fwoscc%2Ffull-record%2FWOS:000241879500008","View Full Record in Web of Science")</f>
        <v>View Full Record in Web of Science</v>
      </c>
    </row>
    <row r="739" spans="1:72" x14ac:dyDescent="0.15">
      <c r="A739" t="s">
        <v>72</v>
      </c>
      <c r="B739" t="s">
        <v>11661</v>
      </c>
      <c r="C739" t="s">
        <v>74</v>
      </c>
      <c r="D739" t="s">
        <v>74</v>
      </c>
      <c r="E739" t="s">
        <v>74</v>
      </c>
      <c r="F739" t="s">
        <v>11662</v>
      </c>
      <c r="G739" t="s">
        <v>74</v>
      </c>
      <c r="H739" t="s">
        <v>74</v>
      </c>
      <c r="I739" t="s">
        <v>11663</v>
      </c>
      <c r="J739" t="s">
        <v>7547</v>
      </c>
      <c r="K739" t="s">
        <v>74</v>
      </c>
      <c r="L739" t="s">
        <v>74</v>
      </c>
      <c r="M739" t="s">
        <v>78</v>
      </c>
      <c r="N739" t="s">
        <v>79</v>
      </c>
      <c r="O739" t="s">
        <v>74</v>
      </c>
      <c r="P739" t="s">
        <v>74</v>
      </c>
      <c r="Q739" t="s">
        <v>74</v>
      </c>
      <c r="R739" t="s">
        <v>74</v>
      </c>
      <c r="S739" t="s">
        <v>74</v>
      </c>
      <c r="T739" t="s">
        <v>11664</v>
      </c>
      <c r="U739" t="s">
        <v>11665</v>
      </c>
      <c r="V739" t="s">
        <v>11666</v>
      </c>
      <c r="W739" t="s">
        <v>11667</v>
      </c>
      <c r="X739" t="s">
        <v>11668</v>
      </c>
      <c r="Y739" t="s">
        <v>11669</v>
      </c>
      <c r="Z739" t="s">
        <v>11670</v>
      </c>
      <c r="AA739" t="s">
        <v>11671</v>
      </c>
      <c r="AB739" t="s">
        <v>11672</v>
      </c>
      <c r="AC739" t="s">
        <v>74</v>
      </c>
      <c r="AD739" t="s">
        <v>74</v>
      </c>
      <c r="AE739" t="s">
        <v>74</v>
      </c>
      <c r="AF739" t="s">
        <v>74</v>
      </c>
      <c r="AG739">
        <v>43</v>
      </c>
      <c r="AH739">
        <v>27</v>
      </c>
      <c r="AI739">
        <v>31</v>
      </c>
      <c r="AJ739">
        <v>0</v>
      </c>
      <c r="AK739">
        <v>13</v>
      </c>
      <c r="AL739" t="s">
        <v>2829</v>
      </c>
      <c r="AM739" t="s">
        <v>903</v>
      </c>
      <c r="AN739" t="s">
        <v>2830</v>
      </c>
      <c r="AO739" t="s">
        <v>7557</v>
      </c>
      <c r="AP739" t="s">
        <v>7558</v>
      </c>
      <c r="AQ739" t="s">
        <v>74</v>
      </c>
      <c r="AR739" t="s">
        <v>7559</v>
      </c>
      <c r="AS739" t="s">
        <v>7560</v>
      </c>
      <c r="AT739" t="s">
        <v>11673</v>
      </c>
      <c r="AU739">
        <v>2006</v>
      </c>
      <c r="AV739">
        <v>250</v>
      </c>
      <c r="AW739" t="s">
        <v>1283</v>
      </c>
      <c r="AX739" t="s">
        <v>74</v>
      </c>
      <c r="AY739" t="s">
        <v>74</v>
      </c>
      <c r="AZ739" t="s">
        <v>74</v>
      </c>
      <c r="BA739" t="s">
        <v>74</v>
      </c>
      <c r="BB739">
        <v>459</v>
      </c>
      <c r="BC739">
        <v>469</v>
      </c>
      <c r="BD739" t="s">
        <v>74</v>
      </c>
      <c r="BE739" t="s">
        <v>11674</v>
      </c>
      <c r="BF739" t="str">
        <f>HYPERLINK("http://dx.doi.org/10.1016/j.epsl.2006.08.015","http://dx.doi.org/10.1016/j.epsl.2006.08.015")</f>
        <v>http://dx.doi.org/10.1016/j.epsl.2006.08.015</v>
      </c>
      <c r="BG739" t="s">
        <v>74</v>
      </c>
      <c r="BH739" t="s">
        <v>74</v>
      </c>
      <c r="BI739">
        <v>11</v>
      </c>
      <c r="BJ739" t="s">
        <v>865</v>
      </c>
      <c r="BK739" t="s">
        <v>97</v>
      </c>
      <c r="BL739" t="s">
        <v>865</v>
      </c>
      <c r="BM739" t="s">
        <v>11675</v>
      </c>
      <c r="BN739" t="s">
        <v>74</v>
      </c>
      <c r="BO739" t="s">
        <v>74</v>
      </c>
      <c r="BP739" t="s">
        <v>74</v>
      </c>
      <c r="BQ739" t="s">
        <v>74</v>
      </c>
      <c r="BR739" t="s">
        <v>100</v>
      </c>
      <c r="BS739" t="s">
        <v>11676</v>
      </c>
      <c r="BT739" t="str">
        <f>HYPERLINK("https%3A%2F%2Fwww.webofscience.com%2Fwos%2Fwoscc%2Ffull-record%2FWOS:000242195100004","View Full Record in Web of Science")</f>
        <v>View Full Record in Web of Science</v>
      </c>
    </row>
    <row r="740" spans="1:72" x14ac:dyDescent="0.15">
      <c r="A740" t="s">
        <v>72</v>
      </c>
      <c r="B740" t="s">
        <v>11677</v>
      </c>
      <c r="C740" t="s">
        <v>74</v>
      </c>
      <c r="D740" t="s">
        <v>74</v>
      </c>
      <c r="E740" t="s">
        <v>74</v>
      </c>
      <c r="F740" t="s">
        <v>11678</v>
      </c>
      <c r="G740" t="s">
        <v>74</v>
      </c>
      <c r="H740" t="s">
        <v>74</v>
      </c>
      <c r="I740" t="s">
        <v>11679</v>
      </c>
      <c r="J740" t="s">
        <v>7267</v>
      </c>
      <c r="K740" t="s">
        <v>74</v>
      </c>
      <c r="L740" t="s">
        <v>74</v>
      </c>
      <c r="M740" t="s">
        <v>78</v>
      </c>
      <c r="N740" t="s">
        <v>79</v>
      </c>
      <c r="O740" t="s">
        <v>74</v>
      </c>
      <c r="P740" t="s">
        <v>74</v>
      </c>
      <c r="Q740" t="s">
        <v>74</v>
      </c>
      <c r="R740" t="s">
        <v>74</v>
      </c>
      <c r="S740" t="s">
        <v>74</v>
      </c>
      <c r="T740" t="s">
        <v>11680</v>
      </c>
      <c r="U740" t="s">
        <v>11681</v>
      </c>
      <c r="V740" t="s">
        <v>11682</v>
      </c>
      <c r="W740" t="s">
        <v>11683</v>
      </c>
      <c r="X740" t="s">
        <v>11684</v>
      </c>
      <c r="Y740" t="s">
        <v>11685</v>
      </c>
      <c r="Z740" t="s">
        <v>11686</v>
      </c>
      <c r="AA740" t="s">
        <v>7466</v>
      </c>
      <c r="AB740" t="s">
        <v>7467</v>
      </c>
      <c r="AC740" t="s">
        <v>9094</v>
      </c>
      <c r="AD740" t="s">
        <v>1254</v>
      </c>
      <c r="AE740" t="s">
        <v>74</v>
      </c>
      <c r="AF740" t="s">
        <v>74</v>
      </c>
      <c r="AG740">
        <v>23</v>
      </c>
      <c r="AH740">
        <v>21</v>
      </c>
      <c r="AI740">
        <v>23</v>
      </c>
      <c r="AJ740">
        <v>0</v>
      </c>
      <c r="AK740">
        <v>9</v>
      </c>
      <c r="AL740" t="s">
        <v>838</v>
      </c>
      <c r="AM740" t="s">
        <v>678</v>
      </c>
      <c r="AN740" t="s">
        <v>8331</v>
      </c>
      <c r="AO740" t="s">
        <v>7276</v>
      </c>
      <c r="AP740" t="s">
        <v>11687</v>
      </c>
      <c r="AQ740" t="s">
        <v>74</v>
      </c>
      <c r="AR740" t="s">
        <v>7277</v>
      </c>
      <c r="AS740" t="s">
        <v>7278</v>
      </c>
      <c r="AT740" t="s">
        <v>11673</v>
      </c>
      <c r="AU740">
        <v>2006</v>
      </c>
      <c r="AV740">
        <v>104</v>
      </c>
      <c r="AW740">
        <v>4</v>
      </c>
      <c r="AX740" t="s">
        <v>74</v>
      </c>
      <c r="AY740" t="s">
        <v>74</v>
      </c>
      <c r="AZ740" t="s">
        <v>74</v>
      </c>
      <c r="BA740" t="s">
        <v>74</v>
      </c>
      <c r="BB740">
        <v>361</v>
      </c>
      <c r="BC740">
        <v>373</v>
      </c>
      <c r="BD740" t="s">
        <v>74</v>
      </c>
      <c r="BE740" t="s">
        <v>11688</v>
      </c>
      <c r="BF740" t="str">
        <f>HYPERLINK("http://dx.doi.org/10.1016/j.rse.2006.05.009","http://dx.doi.org/10.1016/j.rse.2006.05.009")</f>
        <v>http://dx.doi.org/10.1016/j.rse.2006.05.009</v>
      </c>
      <c r="BG740" t="s">
        <v>74</v>
      </c>
      <c r="BH740" t="s">
        <v>74</v>
      </c>
      <c r="BI740">
        <v>13</v>
      </c>
      <c r="BJ740" t="s">
        <v>7280</v>
      </c>
      <c r="BK740" t="s">
        <v>97</v>
      </c>
      <c r="BL740" t="s">
        <v>7281</v>
      </c>
      <c r="BM740" t="s">
        <v>11689</v>
      </c>
      <c r="BN740" t="s">
        <v>74</v>
      </c>
      <c r="BO740" t="s">
        <v>74</v>
      </c>
      <c r="BP740" t="s">
        <v>74</v>
      </c>
      <c r="BQ740" t="s">
        <v>74</v>
      </c>
      <c r="BR740" t="s">
        <v>100</v>
      </c>
      <c r="BS740" t="s">
        <v>11690</v>
      </c>
      <c r="BT740" t="str">
        <f>HYPERLINK("https%3A%2F%2Fwww.webofscience.com%2Fwos%2Fwoscc%2Ffull-record%2FWOS:000241450900001","View Full Record in Web of Science")</f>
        <v>View Full Record in Web of Science</v>
      </c>
    </row>
    <row r="741" spans="1:72" x14ac:dyDescent="0.15">
      <c r="A741" t="s">
        <v>72</v>
      </c>
      <c r="B741" t="s">
        <v>11691</v>
      </c>
      <c r="C741" t="s">
        <v>74</v>
      </c>
      <c r="D741" t="s">
        <v>74</v>
      </c>
      <c r="E741" t="s">
        <v>74</v>
      </c>
      <c r="F741" t="s">
        <v>11692</v>
      </c>
      <c r="G741" t="s">
        <v>74</v>
      </c>
      <c r="H741" t="s">
        <v>74</v>
      </c>
      <c r="I741" t="s">
        <v>11693</v>
      </c>
      <c r="J741" t="s">
        <v>11694</v>
      </c>
      <c r="K741" t="s">
        <v>74</v>
      </c>
      <c r="L741" t="s">
        <v>74</v>
      </c>
      <c r="M741" t="s">
        <v>78</v>
      </c>
      <c r="N741" t="s">
        <v>79</v>
      </c>
      <c r="O741" t="s">
        <v>74</v>
      </c>
      <c r="P741" t="s">
        <v>74</v>
      </c>
      <c r="Q741" t="s">
        <v>74</v>
      </c>
      <c r="R741" t="s">
        <v>74</v>
      </c>
      <c r="S741" t="s">
        <v>74</v>
      </c>
      <c r="T741" t="s">
        <v>11695</v>
      </c>
      <c r="U741" t="s">
        <v>11696</v>
      </c>
      <c r="V741" t="s">
        <v>11697</v>
      </c>
      <c r="W741" t="s">
        <v>11698</v>
      </c>
      <c r="X741" t="s">
        <v>11699</v>
      </c>
      <c r="Y741" t="s">
        <v>11700</v>
      </c>
      <c r="Z741" t="s">
        <v>11701</v>
      </c>
      <c r="AA741" t="s">
        <v>11702</v>
      </c>
      <c r="AB741" t="s">
        <v>11703</v>
      </c>
      <c r="AC741" t="s">
        <v>74</v>
      </c>
      <c r="AD741" t="s">
        <v>74</v>
      </c>
      <c r="AE741" t="s">
        <v>74</v>
      </c>
      <c r="AF741" t="s">
        <v>74</v>
      </c>
      <c r="AG741">
        <v>28</v>
      </c>
      <c r="AH741">
        <v>4</v>
      </c>
      <c r="AI741">
        <v>4</v>
      </c>
      <c r="AJ741">
        <v>0</v>
      </c>
      <c r="AK741">
        <v>4</v>
      </c>
      <c r="AL741" t="s">
        <v>902</v>
      </c>
      <c r="AM741" t="s">
        <v>903</v>
      </c>
      <c r="AN741" t="s">
        <v>5098</v>
      </c>
      <c r="AO741" t="s">
        <v>11704</v>
      </c>
      <c r="AP741" t="s">
        <v>74</v>
      </c>
      <c r="AQ741" t="s">
        <v>74</v>
      </c>
      <c r="AR741" t="s">
        <v>11705</v>
      </c>
      <c r="AS741" t="s">
        <v>11706</v>
      </c>
      <c r="AT741" t="s">
        <v>11707</v>
      </c>
      <c r="AU741">
        <v>2006</v>
      </c>
      <c r="AV741">
        <v>580</v>
      </c>
      <c r="AW741">
        <v>1</v>
      </c>
      <c r="AX741" t="s">
        <v>74</v>
      </c>
      <c r="AY741" t="s">
        <v>74</v>
      </c>
      <c r="AZ741" t="s">
        <v>74</v>
      </c>
      <c r="BA741" t="s">
        <v>74</v>
      </c>
      <c r="BB741">
        <v>47</v>
      </c>
      <c r="BC741">
        <v>54</v>
      </c>
      <c r="BD741" t="s">
        <v>74</v>
      </c>
      <c r="BE741" t="s">
        <v>11708</v>
      </c>
      <c r="BF741" t="str">
        <f>HYPERLINK("http://dx.doi.org/10.1016/j.aca.2006.07.042","http://dx.doi.org/10.1016/j.aca.2006.07.042")</f>
        <v>http://dx.doi.org/10.1016/j.aca.2006.07.042</v>
      </c>
      <c r="BG741" t="s">
        <v>74</v>
      </c>
      <c r="BH741" t="s">
        <v>74</v>
      </c>
      <c r="BI741">
        <v>8</v>
      </c>
      <c r="BJ741" t="s">
        <v>844</v>
      </c>
      <c r="BK741" t="s">
        <v>97</v>
      </c>
      <c r="BL741" t="s">
        <v>335</v>
      </c>
      <c r="BM741" t="s">
        <v>11709</v>
      </c>
      <c r="BN741">
        <v>17723755</v>
      </c>
      <c r="BO741" t="s">
        <v>74</v>
      </c>
      <c r="BP741" t="s">
        <v>74</v>
      </c>
      <c r="BQ741" t="s">
        <v>74</v>
      </c>
      <c r="BR741" t="s">
        <v>100</v>
      </c>
      <c r="BS741" t="s">
        <v>11710</v>
      </c>
      <c r="BT741" t="str">
        <f>HYPERLINK("https%3A%2F%2Fwww.webofscience.com%2Fwos%2Fwoscc%2Ffull-record%2FWOS:000241706100008","View Full Record in Web of Science")</f>
        <v>View Full Record in Web of Science</v>
      </c>
    </row>
    <row r="742" spans="1:72" x14ac:dyDescent="0.15">
      <c r="A742" t="s">
        <v>72</v>
      </c>
      <c r="B742" t="s">
        <v>11711</v>
      </c>
      <c r="C742" t="s">
        <v>74</v>
      </c>
      <c r="D742" t="s">
        <v>74</v>
      </c>
      <c r="E742" t="s">
        <v>74</v>
      </c>
      <c r="F742" t="s">
        <v>11712</v>
      </c>
      <c r="G742" t="s">
        <v>74</v>
      </c>
      <c r="H742" t="s">
        <v>74</v>
      </c>
      <c r="I742" t="s">
        <v>11713</v>
      </c>
      <c r="J742" t="s">
        <v>7346</v>
      </c>
      <c r="K742" t="s">
        <v>74</v>
      </c>
      <c r="L742" t="s">
        <v>74</v>
      </c>
      <c r="M742" t="s">
        <v>78</v>
      </c>
      <c r="N742" t="s">
        <v>1431</v>
      </c>
      <c r="O742" t="s">
        <v>74</v>
      </c>
      <c r="P742" t="s">
        <v>74</v>
      </c>
      <c r="Q742" t="s">
        <v>74</v>
      </c>
      <c r="R742" t="s">
        <v>74</v>
      </c>
      <c r="S742" t="s">
        <v>74</v>
      </c>
      <c r="T742" t="s">
        <v>74</v>
      </c>
      <c r="U742" t="s">
        <v>11714</v>
      </c>
      <c r="V742" t="s">
        <v>74</v>
      </c>
      <c r="W742" t="s">
        <v>11715</v>
      </c>
      <c r="X742" t="s">
        <v>11716</v>
      </c>
      <c r="Y742" t="s">
        <v>11717</v>
      </c>
      <c r="Z742" t="s">
        <v>11718</v>
      </c>
      <c r="AA742" t="s">
        <v>11719</v>
      </c>
      <c r="AB742" t="s">
        <v>11720</v>
      </c>
      <c r="AC742" t="s">
        <v>74</v>
      </c>
      <c r="AD742" t="s">
        <v>74</v>
      </c>
      <c r="AE742" t="s">
        <v>74</v>
      </c>
      <c r="AF742" t="s">
        <v>74</v>
      </c>
      <c r="AG742">
        <v>8</v>
      </c>
      <c r="AH742">
        <v>8</v>
      </c>
      <c r="AI742">
        <v>11</v>
      </c>
      <c r="AJ742">
        <v>1</v>
      </c>
      <c r="AK742">
        <v>14</v>
      </c>
      <c r="AL742" t="s">
        <v>7356</v>
      </c>
      <c r="AM742" t="s">
        <v>5498</v>
      </c>
      <c r="AN742" t="s">
        <v>7357</v>
      </c>
      <c r="AO742" t="s">
        <v>7358</v>
      </c>
      <c r="AP742" t="s">
        <v>74</v>
      </c>
      <c r="AQ742" t="s">
        <v>74</v>
      </c>
      <c r="AR742" t="s">
        <v>7346</v>
      </c>
      <c r="AS742" t="s">
        <v>7359</v>
      </c>
      <c r="AT742" t="s">
        <v>11707</v>
      </c>
      <c r="AU742">
        <v>2006</v>
      </c>
      <c r="AV742">
        <v>314</v>
      </c>
      <c r="AW742">
        <v>5799</v>
      </c>
      <c r="AX742" t="s">
        <v>74</v>
      </c>
      <c r="AY742" t="s">
        <v>74</v>
      </c>
      <c r="AZ742" t="s">
        <v>74</v>
      </c>
      <c r="BA742" t="s">
        <v>74</v>
      </c>
      <c r="BB742">
        <v>595</v>
      </c>
      <c r="BC742">
        <v>595</v>
      </c>
      <c r="BD742" t="s">
        <v>74</v>
      </c>
      <c r="BE742" t="s">
        <v>11721</v>
      </c>
      <c r="BF742" t="str">
        <f>HYPERLINK("http://dx.doi.org/10.1126/science.1128198","http://dx.doi.org/10.1126/science.1128198")</f>
        <v>http://dx.doi.org/10.1126/science.1128198</v>
      </c>
      <c r="BG742" t="s">
        <v>74</v>
      </c>
      <c r="BH742" t="s">
        <v>74</v>
      </c>
      <c r="BI742">
        <v>1</v>
      </c>
      <c r="BJ742" t="s">
        <v>884</v>
      </c>
      <c r="BK742" t="s">
        <v>97</v>
      </c>
      <c r="BL742" t="s">
        <v>885</v>
      </c>
      <c r="BM742" t="s">
        <v>11722</v>
      </c>
      <c r="BN742">
        <v>17068245</v>
      </c>
      <c r="BO742" t="s">
        <v>74</v>
      </c>
      <c r="BP742" t="s">
        <v>74</v>
      </c>
      <c r="BQ742" t="s">
        <v>74</v>
      </c>
      <c r="BR742" t="s">
        <v>100</v>
      </c>
      <c r="BS742" t="s">
        <v>11723</v>
      </c>
      <c r="BT742" t="str">
        <f>HYPERLINK("https%3A%2F%2Fwww.webofscience.com%2Fwos%2Fwoscc%2Ffull-record%2FWOS:000241557800024","View Full Record in Web of Science")</f>
        <v>View Full Record in Web of Science</v>
      </c>
    </row>
    <row r="743" spans="1:72" x14ac:dyDescent="0.15">
      <c r="A743" t="s">
        <v>72</v>
      </c>
      <c r="B743" t="s">
        <v>11724</v>
      </c>
      <c r="C743" t="s">
        <v>74</v>
      </c>
      <c r="D743" t="s">
        <v>74</v>
      </c>
      <c r="E743" t="s">
        <v>74</v>
      </c>
      <c r="F743" t="s">
        <v>11725</v>
      </c>
      <c r="G743" t="s">
        <v>74</v>
      </c>
      <c r="H743" t="s">
        <v>74</v>
      </c>
      <c r="I743" t="s">
        <v>11726</v>
      </c>
      <c r="J743" t="s">
        <v>8993</v>
      </c>
      <c r="K743" t="s">
        <v>74</v>
      </c>
      <c r="L743" t="s">
        <v>74</v>
      </c>
      <c r="M743" t="s">
        <v>78</v>
      </c>
      <c r="N743" t="s">
        <v>79</v>
      </c>
      <c r="O743" t="s">
        <v>74</v>
      </c>
      <c r="P743" t="s">
        <v>74</v>
      </c>
      <c r="Q743" t="s">
        <v>74</v>
      </c>
      <c r="R743" t="s">
        <v>74</v>
      </c>
      <c r="S743" t="s">
        <v>74</v>
      </c>
      <c r="T743" t="s">
        <v>74</v>
      </c>
      <c r="U743" t="s">
        <v>11727</v>
      </c>
      <c r="V743" t="s">
        <v>11728</v>
      </c>
      <c r="W743" t="s">
        <v>11729</v>
      </c>
      <c r="X743" t="s">
        <v>11730</v>
      </c>
      <c r="Y743" t="s">
        <v>11731</v>
      </c>
      <c r="Z743" t="s">
        <v>11732</v>
      </c>
      <c r="AA743" t="s">
        <v>11733</v>
      </c>
      <c r="AB743" t="s">
        <v>11734</v>
      </c>
      <c r="AC743" t="s">
        <v>11735</v>
      </c>
      <c r="AD743" t="s">
        <v>158</v>
      </c>
      <c r="AE743" t="s">
        <v>74</v>
      </c>
      <c r="AF743" t="s">
        <v>74</v>
      </c>
      <c r="AG743">
        <v>18</v>
      </c>
      <c r="AH743">
        <v>118</v>
      </c>
      <c r="AI743">
        <v>124</v>
      </c>
      <c r="AJ743">
        <v>0</v>
      </c>
      <c r="AK743">
        <v>3</v>
      </c>
      <c r="AL743" t="s">
        <v>7239</v>
      </c>
      <c r="AM743" t="s">
        <v>5498</v>
      </c>
      <c r="AN743" t="s">
        <v>7240</v>
      </c>
      <c r="AO743" t="s">
        <v>9003</v>
      </c>
      <c r="AP743" t="s">
        <v>9004</v>
      </c>
      <c r="AQ743" t="s">
        <v>74</v>
      </c>
      <c r="AR743" t="s">
        <v>9005</v>
      </c>
      <c r="AS743" t="s">
        <v>9006</v>
      </c>
      <c r="AT743" t="s">
        <v>11736</v>
      </c>
      <c r="AU743">
        <v>2006</v>
      </c>
      <c r="AV743">
        <v>111</v>
      </c>
      <c r="AW743" t="s">
        <v>11737</v>
      </c>
      <c r="AX743" t="s">
        <v>74</v>
      </c>
      <c r="AY743" t="s">
        <v>74</v>
      </c>
      <c r="AZ743" t="s">
        <v>74</v>
      </c>
      <c r="BA743" t="s">
        <v>74</v>
      </c>
      <c r="BB743" t="s">
        <v>74</v>
      </c>
      <c r="BC743" t="s">
        <v>74</v>
      </c>
      <c r="BD743" t="s">
        <v>11738</v>
      </c>
      <c r="BE743" t="s">
        <v>11739</v>
      </c>
      <c r="BF743" t="str">
        <f>HYPERLINK("http://dx.doi.org/10.1029/2006JA011725","http://dx.doi.org/10.1029/2006JA011725")</f>
        <v>http://dx.doi.org/10.1029/2006JA011725</v>
      </c>
      <c r="BG743" t="s">
        <v>74</v>
      </c>
      <c r="BH743" t="s">
        <v>74</v>
      </c>
      <c r="BI743">
        <v>6</v>
      </c>
      <c r="BJ743" t="s">
        <v>801</v>
      </c>
      <c r="BK743" t="s">
        <v>97</v>
      </c>
      <c r="BL743" t="s">
        <v>801</v>
      </c>
      <c r="BM743" t="s">
        <v>11740</v>
      </c>
      <c r="BN743" t="s">
        <v>74</v>
      </c>
      <c r="BO743" t="s">
        <v>124</v>
      </c>
      <c r="BP743" t="s">
        <v>74</v>
      </c>
      <c r="BQ743" t="s">
        <v>74</v>
      </c>
      <c r="BR743" t="s">
        <v>100</v>
      </c>
      <c r="BS743" t="s">
        <v>11741</v>
      </c>
      <c r="BT743" t="str">
        <f>HYPERLINK("https%3A%2F%2Fwww.webofscience.com%2Fwos%2Fwoscc%2Ffull-record%2FWOS:000241701900002","View Full Record in Web of Science")</f>
        <v>View Full Record in Web of Science</v>
      </c>
    </row>
    <row r="744" spans="1:72" x14ac:dyDescent="0.15">
      <c r="A744" t="s">
        <v>72</v>
      </c>
      <c r="B744" t="s">
        <v>11742</v>
      </c>
      <c r="C744" t="s">
        <v>74</v>
      </c>
      <c r="D744" t="s">
        <v>74</v>
      </c>
      <c r="E744" t="s">
        <v>74</v>
      </c>
      <c r="F744" t="s">
        <v>11743</v>
      </c>
      <c r="G744" t="s">
        <v>74</v>
      </c>
      <c r="H744" t="s">
        <v>74</v>
      </c>
      <c r="I744" t="s">
        <v>11744</v>
      </c>
      <c r="J744" t="s">
        <v>7251</v>
      </c>
      <c r="K744" t="s">
        <v>74</v>
      </c>
      <c r="L744" t="s">
        <v>74</v>
      </c>
      <c r="M744" t="s">
        <v>78</v>
      </c>
      <c r="N744" t="s">
        <v>79</v>
      </c>
      <c r="O744" t="s">
        <v>74</v>
      </c>
      <c r="P744" t="s">
        <v>74</v>
      </c>
      <c r="Q744" t="s">
        <v>74</v>
      </c>
      <c r="R744" t="s">
        <v>74</v>
      </c>
      <c r="S744" t="s">
        <v>74</v>
      </c>
      <c r="T744" t="s">
        <v>74</v>
      </c>
      <c r="U744" t="s">
        <v>11745</v>
      </c>
      <c r="V744" t="s">
        <v>11746</v>
      </c>
      <c r="W744" t="s">
        <v>11747</v>
      </c>
      <c r="X744" t="s">
        <v>11748</v>
      </c>
      <c r="Y744" t="s">
        <v>11749</v>
      </c>
      <c r="Z744" t="s">
        <v>11750</v>
      </c>
      <c r="AA744" t="s">
        <v>11751</v>
      </c>
      <c r="AB744" t="s">
        <v>11752</v>
      </c>
      <c r="AC744" t="s">
        <v>74</v>
      </c>
      <c r="AD744" t="s">
        <v>74</v>
      </c>
      <c r="AE744" t="s">
        <v>74</v>
      </c>
      <c r="AF744" t="s">
        <v>74</v>
      </c>
      <c r="AG744">
        <v>19</v>
      </c>
      <c r="AH744">
        <v>13</v>
      </c>
      <c r="AI744">
        <v>14</v>
      </c>
      <c r="AJ744">
        <v>0</v>
      </c>
      <c r="AK744">
        <v>3</v>
      </c>
      <c r="AL744" t="s">
        <v>7239</v>
      </c>
      <c r="AM744" t="s">
        <v>5498</v>
      </c>
      <c r="AN744" t="s">
        <v>7240</v>
      </c>
      <c r="AO744" t="s">
        <v>7257</v>
      </c>
      <c r="AP744" t="s">
        <v>7394</v>
      </c>
      <c r="AQ744" t="s">
        <v>74</v>
      </c>
      <c r="AR744" t="s">
        <v>7258</v>
      </c>
      <c r="AS744" t="s">
        <v>7259</v>
      </c>
      <c r="AT744" t="s">
        <v>11753</v>
      </c>
      <c r="AU744">
        <v>2006</v>
      </c>
      <c r="AV744">
        <v>33</v>
      </c>
      <c r="AW744">
        <v>20</v>
      </c>
      <c r="AX744" t="s">
        <v>74</v>
      </c>
      <c r="AY744" t="s">
        <v>74</v>
      </c>
      <c r="AZ744" t="s">
        <v>74</v>
      </c>
      <c r="BA744" t="s">
        <v>74</v>
      </c>
      <c r="BB744" t="s">
        <v>74</v>
      </c>
      <c r="BC744" t="s">
        <v>74</v>
      </c>
      <c r="BD744" t="s">
        <v>11754</v>
      </c>
      <c r="BE744" t="s">
        <v>11755</v>
      </c>
      <c r="BF744" t="str">
        <f>HYPERLINK("http://dx.doi.org/10.1029/2006GL027117","http://dx.doi.org/10.1029/2006GL027117")</f>
        <v>http://dx.doi.org/10.1029/2006GL027117</v>
      </c>
      <c r="BG744" t="s">
        <v>74</v>
      </c>
      <c r="BH744" t="s">
        <v>74</v>
      </c>
      <c r="BI744">
        <v>5</v>
      </c>
      <c r="BJ744" t="s">
        <v>685</v>
      </c>
      <c r="BK744" t="s">
        <v>97</v>
      </c>
      <c r="BL744" t="s">
        <v>642</v>
      </c>
      <c r="BM744" t="s">
        <v>11756</v>
      </c>
      <c r="BN744" t="s">
        <v>74</v>
      </c>
      <c r="BO744" t="s">
        <v>11757</v>
      </c>
      <c r="BP744" t="s">
        <v>74</v>
      </c>
      <c r="BQ744" t="s">
        <v>74</v>
      </c>
      <c r="BR744" t="s">
        <v>100</v>
      </c>
      <c r="BS744" t="s">
        <v>11758</v>
      </c>
      <c r="BT744" t="str">
        <f>HYPERLINK("https%3A%2F%2Fwww.webofscience.com%2Fwos%2Fwoscc%2Ffull-record%2FWOS:000241699800004","View Full Record in Web of Science")</f>
        <v>View Full Record in Web of Science</v>
      </c>
    </row>
    <row r="745" spans="1:72" x14ac:dyDescent="0.15">
      <c r="A745" t="s">
        <v>72</v>
      </c>
      <c r="B745" t="s">
        <v>11759</v>
      </c>
      <c r="C745" t="s">
        <v>74</v>
      </c>
      <c r="D745" t="s">
        <v>74</v>
      </c>
      <c r="E745" t="s">
        <v>74</v>
      </c>
      <c r="F745" t="s">
        <v>11760</v>
      </c>
      <c r="G745" t="s">
        <v>74</v>
      </c>
      <c r="H745" t="s">
        <v>74</v>
      </c>
      <c r="I745" t="s">
        <v>11761</v>
      </c>
      <c r="J745" t="s">
        <v>7251</v>
      </c>
      <c r="K745" t="s">
        <v>74</v>
      </c>
      <c r="L745" t="s">
        <v>74</v>
      </c>
      <c r="M745" t="s">
        <v>78</v>
      </c>
      <c r="N745" t="s">
        <v>79</v>
      </c>
      <c r="O745" t="s">
        <v>74</v>
      </c>
      <c r="P745" t="s">
        <v>74</v>
      </c>
      <c r="Q745" t="s">
        <v>74</v>
      </c>
      <c r="R745" t="s">
        <v>74</v>
      </c>
      <c r="S745" t="s">
        <v>74</v>
      </c>
      <c r="T745" t="s">
        <v>74</v>
      </c>
      <c r="U745" t="s">
        <v>11762</v>
      </c>
      <c r="V745" t="s">
        <v>11763</v>
      </c>
      <c r="W745" t="s">
        <v>11764</v>
      </c>
      <c r="X745" t="s">
        <v>11765</v>
      </c>
      <c r="Y745" t="s">
        <v>11766</v>
      </c>
      <c r="Z745" t="s">
        <v>11767</v>
      </c>
      <c r="AA745" t="s">
        <v>11768</v>
      </c>
      <c r="AB745" t="s">
        <v>11769</v>
      </c>
      <c r="AC745" t="s">
        <v>74</v>
      </c>
      <c r="AD745" t="s">
        <v>74</v>
      </c>
      <c r="AE745" t="s">
        <v>74</v>
      </c>
      <c r="AF745" t="s">
        <v>74</v>
      </c>
      <c r="AG745">
        <v>23</v>
      </c>
      <c r="AH745">
        <v>66</v>
      </c>
      <c r="AI745">
        <v>68</v>
      </c>
      <c r="AJ745">
        <v>0</v>
      </c>
      <c r="AK745">
        <v>11</v>
      </c>
      <c r="AL745" t="s">
        <v>7239</v>
      </c>
      <c r="AM745" t="s">
        <v>5498</v>
      </c>
      <c r="AN745" t="s">
        <v>7240</v>
      </c>
      <c r="AO745" t="s">
        <v>7257</v>
      </c>
      <c r="AP745" t="s">
        <v>7394</v>
      </c>
      <c r="AQ745" t="s">
        <v>74</v>
      </c>
      <c r="AR745" t="s">
        <v>7258</v>
      </c>
      <c r="AS745" t="s">
        <v>7259</v>
      </c>
      <c r="AT745" t="s">
        <v>11770</v>
      </c>
      <c r="AU745">
        <v>2006</v>
      </c>
      <c r="AV745">
        <v>33</v>
      </c>
      <c r="AW745">
        <v>20</v>
      </c>
      <c r="AX745" t="s">
        <v>74</v>
      </c>
      <c r="AY745" t="s">
        <v>74</v>
      </c>
      <c r="AZ745" t="s">
        <v>74</v>
      </c>
      <c r="BA745" t="s">
        <v>74</v>
      </c>
      <c r="BB745" t="s">
        <v>74</v>
      </c>
      <c r="BC745" t="s">
        <v>74</v>
      </c>
      <c r="BD745" t="s">
        <v>11771</v>
      </c>
      <c r="BE745" t="s">
        <v>11772</v>
      </c>
      <c r="BF745" t="str">
        <f>HYPERLINK("http://dx.doi.org/10.1029/2006GL026925","http://dx.doi.org/10.1029/2006GL026925")</f>
        <v>http://dx.doi.org/10.1029/2006GL026925</v>
      </c>
      <c r="BG745" t="s">
        <v>74</v>
      </c>
      <c r="BH745" t="s">
        <v>74</v>
      </c>
      <c r="BI745">
        <v>5</v>
      </c>
      <c r="BJ745" t="s">
        <v>685</v>
      </c>
      <c r="BK745" t="s">
        <v>97</v>
      </c>
      <c r="BL745" t="s">
        <v>642</v>
      </c>
      <c r="BM745" t="s">
        <v>11773</v>
      </c>
      <c r="BN745" t="s">
        <v>74</v>
      </c>
      <c r="BO745" t="s">
        <v>7456</v>
      </c>
      <c r="BP745" t="s">
        <v>74</v>
      </c>
      <c r="BQ745" t="s">
        <v>74</v>
      </c>
      <c r="BR745" t="s">
        <v>100</v>
      </c>
      <c r="BS745" t="s">
        <v>11774</v>
      </c>
      <c r="BT745" t="str">
        <f>HYPERLINK("https%3A%2F%2Fwww.webofscience.com%2Fwos%2Fwoscc%2Ffull-record%2FWOS:000241699700001","View Full Record in Web of Science")</f>
        <v>View Full Record in Web of Science</v>
      </c>
    </row>
    <row r="746" spans="1:72" x14ac:dyDescent="0.15">
      <c r="A746" t="s">
        <v>72</v>
      </c>
      <c r="B746" t="s">
        <v>11775</v>
      </c>
      <c r="C746" t="s">
        <v>74</v>
      </c>
      <c r="D746" t="s">
        <v>74</v>
      </c>
      <c r="E746" t="s">
        <v>74</v>
      </c>
      <c r="F746" t="s">
        <v>11776</v>
      </c>
      <c r="G746" t="s">
        <v>74</v>
      </c>
      <c r="H746" t="s">
        <v>74</v>
      </c>
      <c r="I746" t="s">
        <v>11777</v>
      </c>
      <c r="J746" t="s">
        <v>9617</v>
      </c>
      <c r="K746" t="s">
        <v>74</v>
      </c>
      <c r="L746" t="s">
        <v>74</v>
      </c>
      <c r="M746" t="s">
        <v>78</v>
      </c>
      <c r="N746" t="s">
        <v>79</v>
      </c>
      <c r="O746" t="s">
        <v>74</v>
      </c>
      <c r="P746" t="s">
        <v>74</v>
      </c>
      <c r="Q746" t="s">
        <v>74</v>
      </c>
      <c r="R746" t="s">
        <v>74</v>
      </c>
      <c r="S746" t="s">
        <v>74</v>
      </c>
      <c r="T746" t="s">
        <v>11778</v>
      </c>
      <c r="U746" t="s">
        <v>11779</v>
      </c>
      <c r="V746" t="s">
        <v>11780</v>
      </c>
      <c r="W746" t="s">
        <v>11781</v>
      </c>
      <c r="X746" t="s">
        <v>11782</v>
      </c>
      <c r="Y746" t="s">
        <v>11783</v>
      </c>
      <c r="Z746" t="s">
        <v>11784</v>
      </c>
      <c r="AA746" t="s">
        <v>11400</v>
      </c>
      <c r="AB746" t="s">
        <v>74</v>
      </c>
      <c r="AC746" t="s">
        <v>74</v>
      </c>
      <c r="AD746" t="s">
        <v>74</v>
      </c>
      <c r="AE746" t="s">
        <v>74</v>
      </c>
      <c r="AF746" t="s">
        <v>74</v>
      </c>
      <c r="AG746">
        <v>67</v>
      </c>
      <c r="AH746">
        <v>27</v>
      </c>
      <c r="AI746">
        <v>27</v>
      </c>
      <c r="AJ746">
        <v>1</v>
      </c>
      <c r="AK746">
        <v>21</v>
      </c>
      <c r="AL746" t="s">
        <v>2829</v>
      </c>
      <c r="AM746" t="s">
        <v>903</v>
      </c>
      <c r="AN746" t="s">
        <v>2830</v>
      </c>
      <c r="AO746" t="s">
        <v>9626</v>
      </c>
      <c r="AP746" t="s">
        <v>11785</v>
      </c>
      <c r="AQ746" t="s">
        <v>74</v>
      </c>
      <c r="AR746" t="s">
        <v>9627</v>
      </c>
      <c r="AS746" t="s">
        <v>9628</v>
      </c>
      <c r="AT746" t="s">
        <v>11770</v>
      </c>
      <c r="AU746">
        <v>2006</v>
      </c>
      <c r="AV746">
        <v>338</v>
      </c>
      <c r="AW746">
        <v>1</v>
      </c>
      <c r="AX746" t="s">
        <v>74</v>
      </c>
      <c r="AY746" t="s">
        <v>74</v>
      </c>
      <c r="AZ746" t="s">
        <v>74</v>
      </c>
      <c r="BA746" t="s">
        <v>74</v>
      </c>
      <c r="BB746">
        <v>16</v>
      </c>
      <c r="BC746">
        <v>34</v>
      </c>
      <c r="BD746" t="s">
        <v>74</v>
      </c>
      <c r="BE746" t="s">
        <v>11786</v>
      </c>
      <c r="BF746" t="str">
        <f>HYPERLINK("http://dx.doi.org/10.1016/j.jembe.2006.06.028","http://dx.doi.org/10.1016/j.jembe.2006.06.028")</f>
        <v>http://dx.doi.org/10.1016/j.jembe.2006.06.028</v>
      </c>
      <c r="BG746" t="s">
        <v>74</v>
      </c>
      <c r="BH746" t="s">
        <v>74</v>
      </c>
      <c r="BI746">
        <v>19</v>
      </c>
      <c r="BJ746" t="s">
        <v>4393</v>
      </c>
      <c r="BK746" t="s">
        <v>97</v>
      </c>
      <c r="BL746" t="s">
        <v>198</v>
      </c>
      <c r="BM746" t="s">
        <v>11787</v>
      </c>
      <c r="BN746" t="s">
        <v>74</v>
      </c>
      <c r="BO746" t="s">
        <v>74</v>
      </c>
      <c r="BP746" t="s">
        <v>74</v>
      </c>
      <c r="BQ746" t="s">
        <v>74</v>
      </c>
      <c r="BR746" t="s">
        <v>100</v>
      </c>
      <c r="BS746" t="s">
        <v>11788</v>
      </c>
      <c r="BT746" t="str">
        <f>HYPERLINK("https%3A%2F%2Fwww.webofscience.com%2Fwos%2Fwoscc%2Ffull-record%2FWOS:000241016200002","View Full Record in Web of Science")</f>
        <v>View Full Record in Web of Science</v>
      </c>
    </row>
    <row r="747" spans="1:72" x14ac:dyDescent="0.15">
      <c r="A747" t="s">
        <v>72</v>
      </c>
      <c r="B747" t="s">
        <v>11789</v>
      </c>
      <c r="C747" t="s">
        <v>74</v>
      </c>
      <c r="D747" t="s">
        <v>74</v>
      </c>
      <c r="E747" t="s">
        <v>74</v>
      </c>
      <c r="F747" t="s">
        <v>11790</v>
      </c>
      <c r="G747" t="s">
        <v>74</v>
      </c>
      <c r="H747" t="s">
        <v>74</v>
      </c>
      <c r="I747" t="s">
        <v>11791</v>
      </c>
      <c r="J747" t="s">
        <v>9617</v>
      </c>
      <c r="K747" t="s">
        <v>74</v>
      </c>
      <c r="L747" t="s">
        <v>74</v>
      </c>
      <c r="M747" t="s">
        <v>78</v>
      </c>
      <c r="N747" t="s">
        <v>79</v>
      </c>
      <c r="O747" t="s">
        <v>74</v>
      </c>
      <c r="P747" t="s">
        <v>74</v>
      </c>
      <c r="Q747" t="s">
        <v>74</v>
      </c>
      <c r="R747" t="s">
        <v>74</v>
      </c>
      <c r="S747" t="s">
        <v>74</v>
      </c>
      <c r="T747" t="s">
        <v>11792</v>
      </c>
      <c r="U747" t="s">
        <v>11793</v>
      </c>
      <c r="V747" t="s">
        <v>11794</v>
      </c>
      <c r="W747" t="s">
        <v>11795</v>
      </c>
      <c r="X747" t="s">
        <v>4295</v>
      </c>
      <c r="Y747" t="s">
        <v>11796</v>
      </c>
      <c r="Z747" t="s">
        <v>11797</v>
      </c>
      <c r="AA747" t="s">
        <v>11798</v>
      </c>
      <c r="AB747" t="s">
        <v>11799</v>
      </c>
      <c r="AC747" t="s">
        <v>74</v>
      </c>
      <c r="AD747" t="s">
        <v>74</v>
      </c>
      <c r="AE747" t="s">
        <v>74</v>
      </c>
      <c r="AF747" t="s">
        <v>74</v>
      </c>
      <c r="AG747">
        <v>25</v>
      </c>
      <c r="AH747">
        <v>54</v>
      </c>
      <c r="AI747">
        <v>57</v>
      </c>
      <c r="AJ747">
        <v>0</v>
      </c>
      <c r="AK747">
        <v>6</v>
      </c>
      <c r="AL747" t="s">
        <v>902</v>
      </c>
      <c r="AM747" t="s">
        <v>903</v>
      </c>
      <c r="AN747" t="s">
        <v>5098</v>
      </c>
      <c r="AO747" t="s">
        <v>9626</v>
      </c>
      <c r="AP747" t="s">
        <v>74</v>
      </c>
      <c r="AQ747" t="s">
        <v>74</v>
      </c>
      <c r="AR747" t="s">
        <v>9627</v>
      </c>
      <c r="AS747" t="s">
        <v>9628</v>
      </c>
      <c r="AT747" t="s">
        <v>11770</v>
      </c>
      <c r="AU747">
        <v>2006</v>
      </c>
      <c r="AV747">
        <v>338</v>
      </c>
      <c r="AW747">
        <v>1</v>
      </c>
      <c r="AX747" t="s">
        <v>74</v>
      </c>
      <c r="AY747" t="s">
        <v>74</v>
      </c>
      <c r="AZ747" t="s">
        <v>74</v>
      </c>
      <c r="BA747" t="s">
        <v>74</v>
      </c>
      <c r="BB747">
        <v>35</v>
      </c>
      <c r="BC747">
        <v>42</v>
      </c>
      <c r="BD747" t="s">
        <v>74</v>
      </c>
      <c r="BE747" t="s">
        <v>11800</v>
      </c>
      <c r="BF747" t="str">
        <f>HYPERLINK("http://dx.doi.org/10.1016/j.jembe.2006.06.027","http://dx.doi.org/10.1016/j.jembe.2006.06.027")</f>
        <v>http://dx.doi.org/10.1016/j.jembe.2006.06.027</v>
      </c>
      <c r="BG747" t="s">
        <v>74</v>
      </c>
      <c r="BH747" t="s">
        <v>74</v>
      </c>
      <c r="BI747">
        <v>8</v>
      </c>
      <c r="BJ747" t="s">
        <v>4393</v>
      </c>
      <c r="BK747" t="s">
        <v>97</v>
      </c>
      <c r="BL747" t="s">
        <v>198</v>
      </c>
      <c r="BM747" t="s">
        <v>11787</v>
      </c>
      <c r="BN747" t="s">
        <v>74</v>
      </c>
      <c r="BO747" t="s">
        <v>74</v>
      </c>
      <c r="BP747" t="s">
        <v>74</v>
      </c>
      <c r="BQ747" t="s">
        <v>74</v>
      </c>
      <c r="BR747" t="s">
        <v>100</v>
      </c>
      <c r="BS747" t="s">
        <v>11801</v>
      </c>
      <c r="BT747" t="str">
        <f>HYPERLINK("https%3A%2F%2Fwww.webofscience.com%2Fwos%2Fwoscc%2Ffull-record%2FWOS:000241016200003","View Full Record in Web of Science")</f>
        <v>View Full Record in Web of Science</v>
      </c>
    </row>
    <row r="748" spans="1:72" x14ac:dyDescent="0.15">
      <c r="A748" t="s">
        <v>72</v>
      </c>
      <c r="B748" t="s">
        <v>11802</v>
      </c>
      <c r="C748" t="s">
        <v>74</v>
      </c>
      <c r="D748" t="s">
        <v>74</v>
      </c>
      <c r="E748" t="s">
        <v>74</v>
      </c>
      <c r="F748" t="s">
        <v>11803</v>
      </c>
      <c r="G748" t="s">
        <v>74</v>
      </c>
      <c r="H748" t="s">
        <v>74</v>
      </c>
      <c r="I748" t="s">
        <v>11804</v>
      </c>
      <c r="J748" t="s">
        <v>7251</v>
      </c>
      <c r="K748" t="s">
        <v>74</v>
      </c>
      <c r="L748" t="s">
        <v>74</v>
      </c>
      <c r="M748" t="s">
        <v>78</v>
      </c>
      <c r="N748" t="s">
        <v>79</v>
      </c>
      <c r="O748" t="s">
        <v>74</v>
      </c>
      <c r="P748" t="s">
        <v>74</v>
      </c>
      <c r="Q748" t="s">
        <v>74</v>
      </c>
      <c r="R748" t="s">
        <v>74</v>
      </c>
      <c r="S748" t="s">
        <v>74</v>
      </c>
      <c r="T748" t="s">
        <v>74</v>
      </c>
      <c r="U748" t="s">
        <v>11805</v>
      </c>
      <c r="V748" t="s">
        <v>11806</v>
      </c>
      <c r="W748" t="s">
        <v>11807</v>
      </c>
      <c r="X748" t="s">
        <v>11808</v>
      </c>
      <c r="Y748" t="s">
        <v>11809</v>
      </c>
      <c r="Z748" t="s">
        <v>11810</v>
      </c>
      <c r="AA748" t="s">
        <v>11811</v>
      </c>
      <c r="AB748" t="s">
        <v>11812</v>
      </c>
      <c r="AC748" t="s">
        <v>74</v>
      </c>
      <c r="AD748" t="s">
        <v>74</v>
      </c>
      <c r="AE748" t="s">
        <v>74</v>
      </c>
      <c r="AF748" t="s">
        <v>74</v>
      </c>
      <c r="AG748">
        <v>31</v>
      </c>
      <c r="AH748">
        <v>60</v>
      </c>
      <c r="AI748">
        <v>71</v>
      </c>
      <c r="AJ748">
        <v>0</v>
      </c>
      <c r="AK748">
        <v>30</v>
      </c>
      <c r="AL748" t="s">
        <v>7239</v>
      </c>
      <c r="AM748" t="s">
        <v>5498</v>
      </c>
      <c r="AN748" t="s">
        <v>7240</v>
      </c>
      <c r="AO748" t="s">
        <v>7257</v>
      </c>
      <c r="AP748" t="s">
        <v>7394</v>
      </c>
      <c r="AQ748" t="s">
        <v>74</v>
      </c>
      <c r="AR748" t="s">
        <v>7258</v>
      </c>
      <c r="AS748" t="s">
        <v>7259</v>
      </c>
      <c r="AT748" t="s">
        <v>11813</v>
      </c>
      <c r="AU748">
        <v>2006</v>
      </c>
      <c r="AV748">
        <v>33</v>
      </c>
      <c r="AW748">
        <v>20</v>
      </c>
      <c r="AX748" t="s">
        <v>74</v>
      </c>
      <c r="AY748" t="s">
        <v>74</v>
      </c>
      <c r="AZ748" t="s">
        <v>74</v>
      </c>
      <c r="BA748" t="s">
        <v>74</v>
      </c>
      <c r="BB748" t="s">
        <v>74</v>
      </c>
      <c r="BC748" t="s">
        <v>74</v>
      </c>
      <c r="BD748" t="s">
        <v>11814</v>
      </c>
      <c r="BE748" t="s">
        <v>11815</v>
      </c>
      <c r="BF748" t="str">
        <f>HYPERLINK("http://dx.doi.org/10.1029/2006GL025975","http://dx.doi.org/10.1029/2006GL025975")</f>
        <v>http://dx.doi.org/10.1029/2006GL025975</v>
      </c>
      <c r="BG748" t="s">
        <v>74</v>
      </c>
      <c r="BH748" t="s">
        <v>74</v>
      </c>
      <c r="BI748">
        <v>5</v>
      </c>
      <c r="BJ748" t="s">
        <v>685</v>
      </c>
      <c r="BK748" t="s">
        <v>97</v>
      </c>
      <c r="BL748" t="s">
        <v>642</v>
      </c>
      <c r="BM748" t="s">
        <v>11816</v>
      </c>
      <c r="BN748" t="s">
        <v>74</v>
      </c>
      <c r="BO748" t="s">
        <v>7456</v>
      </c>
      <c r="BP748" t="s">
        <v>74</v>
      </c>
      <c r="BQ748" t="s">
        <v>74</v>
      </c>
      <c r="BR748" t="s">
        <v>100</v>
      </c>
      <c r="BS748" t="s">
        <v>11817</v>
      </c>
      <c r="BT748" t="str">
        <f>HYPERLINK("https%3A%2F%2Fwww.webofscience.com%2Fwos%2Fwoscc%2Ffull-record%2FWOS:000241694600001","View Full Record in Web of Science")</f>
        <v>View Full Record in Web of Science</v>
      </c>
    </row>
    <row r="749" spans="1:72" x14ac:dyDescent="0.15">
      <c r="A749" t="s">
        <v>72</v>
      </c>
      <c r="B749" t="s">
        <v>11818</v>
      </c>
      <c r="C749" t="s">
        <v>74</v>
      </c>
      <c r="D749" t="s">
        <v>74</v>
      </c>
      <c r="E749" t="s">
        <v>74</v>
      </c>
      <c r="F749" t="s">
        <v>11819</v>
      </c>
      <c r="G749" t="s">
        <v>74</v>
      </c>
      <c r="H749" t="s">
        <v>74</v>
      </c>
      <c r="I749" t="s">
        <v>11820</v>
      </c>
      <c r="J749" t="s">
        <v>7251</v>
      </c>
      <c r="K749" t="s">
        <v>74</v>
      </c>
      <c r="L749" t="s">
        <v>74</v>
      </c>
      <c r="M749" t="s">
        <v>78</v>
      </c>
      <c r="N749" t="s">
        <v>79</v>
      </c>
      <c r="O749" t="s">
        <v>74</v>
      </c>
      <c r="P749" t="s">
        <v>74</v>
      </c>
      <c r="Q749" t="s">
        <v>74</v>
      </c>
      <c r="R749" t="s">
        <v>74</v>
      </c>
      <c r="S749" t="s">
        <v>74</v>
      </c>
      <c r="T749" t="s">
        <v>74</v>
      </c>
      <c r="U749" t="s">
        <v>11821</v>
      </c>
      <c r="V749" t="s">
        <v>11822</v>
      </c>
      <c r="W749" t="s">
        <v>11823</v>
      </c>
      <c r="X749" t="s">
        <v>11824</v>
      </c>
      <c r="Y749" t="s">
        <v>11825</v>
      </c>
      <c r="Z749" t="s">
        <v>11826</v>
      </c>
      <c r="AA749" t="s">
        <v>11827</v>
      </c>
      <c r="AB749" t="s">
        <v>11828</v>
      </c>
      <c r="AC749" t="s">
        <v>74</v>
      </c>
      <c r="AD749" t="s">
        <v>74</v>
      </c>
      <c r="AE749" t="s">
        <v>74</v>
      </c>
      <c r="AF749" t="s">
        <v>74</v>
      </c>
      <c r="AG749">
        <v>39</v>
      </c>
      <c r="AH749">
        <v>165</v>
      </c>
      <c r="AI749">
        <v>189</v>
      </c>
      <c r="AJ749">
        <v>5</v>
      </c>
      <c r="AK749">
        <v>73</v>
      </c>
      <c r="AL749" t="s">
        <v>7239</v>
      </c>
      <c r="AM749" t="s">
        <v>5498</v>
      </c>
      <c r="AN749" t="s">
        <v>7240</v>
      </c>
      <c r="AO749" t="s">
        <v>7257</v>
      </c>
      <c r="AP749" t="s">
        <v>7394</v>
      </c>
      <c r="AQ749" t="s">
        <v>74</v>
      </c>
      <c r="AR749" t="s">
        <v>7258</v>
      </c>
      <c r="AS749" t="s">
        <v>7259</v>
      </c>
      <c r="AT749" t="s">
        <v>11813</v>
      </c>
      <c r="AU749">
        <v>2006</v>
      </c>
      <c r="AV749">
        <v>33</v>
      </c>
      <c r="AW749">
        <v>20</v>
      </c>
      <c r="AX749" t="s">
        <v>74</v>
      </c>
      <c r="AY749" t="s">
        <v>74</v>
      </c>
      <c r="AZ749" t="s">
        <v>74</v>
      </c>
      <c r="BA749" t="s">
        <v>74</v>
      </c>
      <c r="BB749" t="s">
        <v>74</v>
      </c>
      <c r="BC749" t="s">
        <v>74</v>
      </c>
      <c r="BD749" t="s">
        <v>11829</v>
      </c>
      <c r="BE749" t="s">
        <v>11830</v>
      </c>
      <c r="BF749" t="str">
        <f>HYPERLINK("http://dx.doi.org/10.1029/2006GL027176","http://dx.doi.org/10.1029/2006GL027176")</f>
        <v>http://dx.doi.org/10.1029/2006GL027176</v>
      </c>
      <c r="BG749" t="s">
        <v>74</v>
      </c>
      <c r="BH749" t="s">
        <v>74</v>
      </c>
      <c r="BI749">
        <v>5</v>
      </c>
      <c r="BJ749" t="s">
        <v>685</v>
      </c>
      <c r="BK749" t="s">
        <v>97</v>
      </c>
      <c r="BL749" t="s">
        <v>642</v>
      </c>
      <c r="BM749" t="s">
        <v>11816</v>
      </c>
      <c r="BN749" t="s">
        <v>74</v>
      </c>
      <c r="BO749" t="s">
        <v>7472</v>
      </c>
      <c r="BP749" t="s">
        <v>74</v>
      </c>
      <c r="BQ749" t="s">
        <v>74</v>
      </c>
      <c r="BR749" t="s">
        <v>100</v>
      </c>
      <c r="BS749" t="s">
        <v>11831</v>
      </c>
      <c r="BT749" t="str">
        <f>HYPERLINK("https%3A%2F%2Fwww.webofscience.com%2Fwos%2Fwoscc%2Ffull-record%2FWOS:000241694600005","View Full Record in Web of Science")</f>
        <v>View Full Record in Web of Science</v>
      </c>
    </row>
    <row r="750" spans="1:72" x14ac:dyDescent="0.15">
      <c r="A750" t="s">
        <v>72</v>
      </c>
      <c r="B750" t="s">
        <v>11832</v>
      </c>
      <c r="C750" t="s">
        <v>74</v>
      </c>
      <c r="D750" t="s">
        <v>74</v>
      </c>
      <c r="E750" t="s">
        <v>74</v>
      </c>
      <c r="F750" t="s">
        <v>11833</v>
      </c>
      <c r="G750" t="s">
        <v>74</v>
      </c>
      <c r="H750" t="s">
        <v>74</v>
      </c>
      <c r="I750" t="s">
        <v>11834</v>
      </c>
      <c r="J750" t="s">
        <v>7439</v>
      </c>
      <c r="K750" t="s">
        <v>74</v>
      </c>
      <c r="L750" t="s">
        <v>74</v>
      </c>
      <c r="M750" t="s">
        <v>78</v>
      </c>
      <c r="N750" t="s">
        <v>79</v>
      </c>
      <c r="O750" t="s">
        <v>74</v>
      </c>
      <c r="P750" t="s">
        <v>74</v>
      </c>
      <c r="Q750" t="s">
        <v>74</v>
      </c>
      <c r="R750" t="s">
        <v>74</v>
      </c>
      <c r="S750" t="s">
        <v>74</v>
      </c>
      <c r="T750" t="s">
        <v>74</v>
      </c>
      <c r="U750" t="s">
        <v>11835</v>
      </c>
      <c r="V750" t="s">
        <v>11836</v>
      </c>
      <c r="W750" t="s">
        <v>11837</v>
      </c>
      <c r="X750" t="s">
        <v>11838</v>
      </c>
      <c r="Y750" t="s">
        <v>11839</v>
      </c>
      <c r="Z750" t="s">
        <v>11840</v>
      </c>
      <c r="AA750" t="s">
        <v>11841</v>
      </c>
      <c r="AB750" t="s">
        <v>11842</v>
      </c>
      <c r="AC750" t="s">
        <v>74</v>
      </c>
      <c r="AD750" t="s">
        <v>74</v>
      </c>
      <c r="AE750" t="s">
        <v>74</v>
      </c>
      <c r="AF750" t="s">
        <v>74</v>
      </c>
      <c r="AG750">
        <v>40</v>
      </c>
      <c r="AH750">
        <v>37</v>
      </c>
      <c r="AI750">
        <v>39</v>
      </c>
      <c r="AJ750">
        <v>0</v>
      </c>
      <c r="AK750">
        <v>9</v>
      </c>
      <c r="AL750" t="s">
        <v>7239</v>
      </c>
      <c r="AM750" t="s">
        <v>5498</v>
      </c>
      <c r="AN750" t="s">
        <v>7240</v>
      </c>
      <c r="AO750" t="s">
        <v>7448</v>
      </c>
      <c r="AP750" t="s">
        <v>7449</v>
      </c>
      <c r="AQ750" t="s">
        <v>74</v>
      </c>
      <c r="AR750" t="s">
        <v>7450</v>
      </c>
      <c r="AS750" t="s">
        <v>7451</v>
      </c>
      <c r="AT750" t="s">
        <v>11813</v>
      </c>
      <c r="AU750">
        <v>2006</v>
      </c>
      <c r="AV750">
        <v>111</v>
      </c>
      <c r="AW750" t="s">
        <v>11606</v>
      </c>
      <c r="AX750" t="s">
        <v>74</v>
      </c>
      <c r="AY750" t="s">
        <v>74</v>
      </c>
      <c r="AZ750" t="s">
        <v>74</v>
      </c>
      <c r="BA750" t="s">
        <v>74</v>
      </c>
      <c r="BB750" t="s">
        <v>74</v>
      </c>
      <c r="BC750" t="s">
        <v>74</v>
      </c>
      <c r="BD750" t="s">
        <v>11843</v>
      </c>
      <c r="BE750" t="s">
        <v>11844</v>
      </c>
      <c r="BF750" t="str">
        <f>HYPERLINK("http://dx.doi.org/10.1029/2005JD006976","http://dx.doi.org/10.1029/2005JD006976")</f>
        <v>http://dx.doi.org/10.1029/2005JD006976</v>
      </c>
      <c r="BG750" t="s">
        <v>74</v>
      </c>
      <c r="BH750" t="s">
        <v>74</v>
      </c>
      <c r="BI750">
        <v>12</v>
      </c>
      <c r="BJ750" t="s">
        <v>3208</v>
      </c>
      <c r="BK750" t="s">
        <v>97</v>
      </c>
      <c r="BL750" t="s">
        <v>3208</v>
      </c>
      <c r="BM750" t="s">
        <v>11845</v>
      </c>
      <c r="BN750" t="s">
        <v>74</v>
      </c>
      <c r="BO750" t="s">
        <v>7456</v>
      </c>
      <c r="BP750" t="s">
        <v>74</v>
      </c>
      <c r="BQ750" t="s">
        <v>74</v>
      </c>
      <c r="BR750" t="s">
        <v>100</v>
      </c>
      <c r="BS750" t="s">
        <v>11846</v>
      </c>
      <c r="BT750" t="str">
        <f>HYPERLINK("https%3A%2F%2Fwww.webofscience.com%2Fwos%2Fwoscc%2Ffull-record%2FWOS:000241695500004","View Full Record in Web of Science")</f>
        <v>View Full Record in Web of Science</v>
      </c>
    </row>
    <row r="751" spans="1:72" x14ac:dyDescent="0.15">
      <c r="A751" t="s">
        <v>72</v>
      </c>
      <c r="B751" t="s">
        <v>11847</v>
      </c>
      <c r="C751" t="s">
        <v>74</v>
      </c>
      <c r="D751" t="s">
        <v>74</v>
      </c>
      <c r="E751" t="s">
        <v>74</v>
      </c>
      <c r="F751" t="s">
        <v>11848</v>
      </c>
      <c r="G751" t="s">
        <v>74</v>
      </c>
      <c r="H751" t="s">
        <v>74</v>
      </c>
      <c r="I751" t="s">
        <v>11849</v>
      </c>
      <c r="J751" t="s">
        <v>11850</v>
      </c>
      <c r="K751" t="s">
        <v>74</v>
      </c>
      <c r="L751" t="s">
        <v>74</v>
      </c>
      <c r="M751" t="s">
        <v>78</v>
      </c>
      <c r="N751" t="s">
        <v>79</v>
      </c>
      <c r="O751" t="s">
        <v>74</v>
      </c>
      <c r="P751" t="s">
        <v>74</v>
      </c>
      <c r="Q751" t="s">
        <v>74</v>
      </c>
      <c r="R751" t="s">
        <v>74</v>
      </c>
      <c r="S751" t="s">
        <v>74</v>
      </c>
      <c r="T751" t="s">
        <v>11851</v>
      </c>
      <c r="U751" t="s">
        <v>11852</v>
      </c>
      <c r="V751" t="s">
        <v>11853</v>
      </c>
      <c r="W751" t="s">
        <v>11854</v>
      </c>
      <c r="X751" t="s">
        <v>11855</v>
      </c>
      <c r="Y751" t="s">
        <v>11856</v>
      </c>
      <c r="Z751" t="s">
        <v>11857</v>
      </c>
      <c r="AA751" t="s">
        <v>11858</v>
      </c>
      <c r="AB751" t="s">
        <v>11859</v>
      </c>
      <c r="AC751" t="s">
        <v>74</v>
      </c>
      <c r="AD751" t="s">
        <v>74</v>
      </c>
      <c r="AE751" t="s">
        <v>74</v>
      </c>
      <c r="AF751" t="s">
        <v>74</v>
      </c>
      <c r="AG751">
        <v>62</v>
      </c>
      <c r="AH751">
        <v>51</v>
      </c>
      <c r="AI751">
        <v>57</v>
      </c>
      <c r="AJ751">
        <v>2</v>
      </c>
      <c r="AK751">
        <v>5</v>
      </c>
      <c r="AL751" t="s">
        <v>2829</v>
      </c>
      <c r="AM751" t="s">
        <v>903</v>
      </c>
      <c r="AN751" t="s">
        <v>2830</v>
      </c>
      <c r="AO751" t="s">
        <v>11860</v>
      </c>
      <c r="AP751" t="s">
        <v>11861</v>
      </c>
      <c r="AQ751" t="s">
        <v>74</v>
      </c>
      <c r="AR751" t="s">
        <v>11862</v>
      </c>
      <c r="AS751" t="s">
        <v>11863</v>
      </c>
      <c r="AT751" t="s">
        <v>11864</v>
      </c>
      <c r="AU751">
        <v>2006</v>
      </c>
      <c r="AV751">
        <v>150</v>
      </c>
      <c r="AW751" t="s">
        <v>94</v>
      </c>
      <c r="AX751" t="s">
        <v>74</v>
      </c>
      <c r="AY751" t="s">
        <v>74</v>
      </c>
      <c r="AZ751" t="s">
        <v>74</v>
      </c>
      <c r="BA751" t="s">
        <v>74</v>
      </c>
      <c r="BB751">
        <v>95</v>
      </c>
      <c r="BC751">
        <v>121</v>
      </c>
      <c r="BD751" t="s">
        <v>74</v>
      </c>
      <c r="BE751" t="s">
        <v>11865</v>
      </c>
      <c r="BF751" t="str">
        <f>HYPERLINK("http://dx.doi.org/10.1016/j.precamres.2006.06.009","http://dx.doi.org/10.1016/j.precamres.2006.06.009")</f>
        <v>http://dx.doi.org/10.1016/j.precamres.2006.06.009</v>
      </c>
      <c r="BG751" t="s">
        <v>74</v>
      </c>
      <c r="BH751" t="s">
        <v>74</v>
      </c>
      <c r="BI751">
        <v>27</v>
      </c>
      <c r="BJ751" t="s">
        <v>685</v>
      </c>
      <c r="BK751" t="s">
        <v>97</v>
      </c>
      <c r="BL751" t="s">
        <v>642</v>
      </c>
      <c r="BM751" t="s">
        <v>11866</v>
      </c>
      <c r="BN751" t="s">
        <v>74</v>
      </c>
      <c r="BO751" t="s">
        <v>74</v>
      </c>
      <c r="BP751" t="s">
        <v>74</v>
      </c>
      <c r="BQ751" t="s">
        <v>74</v>
      </c>
      <c r="BR751" t="s">
        <v>100</v>
      </c>
      <c r="BS751" t="s">
        <v>11867</v>
      </c>
      <c r="BT751" t="str">
        <f>HYPERLINK("https%3A%2F%2Fwww.webofscience.com%2Fwos%2Fwoscc%2Ffull-record%2FWOS:000241318100005","View Full Record in Web of Science")</f>
        <v>View Full Record in Web of Science</v>
      </c>
    </row>
    <row r="752" spans="1:72" x14ac:dyDescent="0.15">
      <c r="A752" t="s">
        <v>72</v>
      </c>
      <c r="B752" t="s">
        <v>11868</v>
      </c>
      <c r="C752" t="s">
        <v>74</v>
      </c>
      <c r="D752" t="s">
        <v>74</v>
      </c>
      <c r="E752" t="s">
        <v>74</v>
      </c>
      <c r="F752" t="s">
        <v>11869</v>
      </c>
      <c r="G752" t="s">
        <v>74</v>
      </c>
      <c r="H752" t="s">
        <v>74</v>
      </c>
      <c r="I752" t="s">
        <v>11870</v>
      </c>
      <c r="J752" t="s">
        <v>7346</v>
      </c>
      <c r="K752" t="s">
        <v>74</v>
      </c>
      <c r="L752" t="s">
        <v>74</v>
      </c>
      <c r="M752" t="s">
        <v>78</v>
      </c>
      <c r="N752" t="s">
        <v>1431</v>
      </c>
      <c r="O752" t="s">
        <v>74</v>
      </c>
      <c r="P752" t="s">
        <v>74</v>
      </c>
      <c r="Q752" t="s">
        <v>74</v>
      </c>
      <c r="R752" t="s">
        <v>74</v>
      </c>
      <c r="S752" t="s">
        <v>74</v>
      </c>
      <c r="T752" t="s">
        <v>74</v>
      </c>
      <c r="U752" t="s">
        <v>11871</v>
      </c>
      <c r="V752" t="s">
        <v>74</v>
      </c>
      <c r="W752" t="s">
        <v>11872</v>
      </c>
      <c r="X752" t="s">
        <v>776</v>
      </c>
      <c r="Y752" t="s">
        <v>11873</v>
      </c>
      <c r="Z752" t="s">
        <v>11874</v>
      </c>
      <c r="AA752" t="s">
        <v>74</v>
      </c>
      <c r="AB752" t="s">
        <v>74</v>
      </c>
      <c r="AC752" t="s">
        <v>74</v>
      </c>
      <c r="AD752" t="s">
        <v>74</v>
      </c>
      <c r="AE752" t="s">
        <v>74</v>
      </c>
      <c r="AF752" t="s">
        <v>74</v>
      </c>
      <c r="AG752">
        <v>5</v>
      </c>
      <c r="AH752">
        <v>2</v>
      </c>
      <c r="AI752">
        <v>3</v>
      </c>
      <c r="AJ752">
        <v>0</v>
      </c>
      <c r="AK752">
        <v>1</v>
      </c>
      <c r="AL752" t="s">
        <v>7356</v>
      </c>
      <c r="AM752" t="s">
        <v>5498</v>
      </c>
      <c r="AN752" t="s">
        <v>7357</v>
      </c>
      <c r="AO752" t="s">
        <v>7358</v>
      </c>
      <c r="AP752" t="s">
        <v>74</v>
      </c>
      <c r="AQ752" t="s">
        <v>74</v>
      </c>
      <c r="AR752" t="s">
        <v>7346</v>
      </c>
      <c r="AS752" t="s">
        <v>7359</v>
      </c>
      <c r="AT752" t="s">
        <v>11864</v>
      </c>
      <c r="AU752">
        <v>2006</v>
      </c>
      <c r="AV752">
        <v>314</v>
      </c>
      <c r="AW752">
        <v>5798</v>
      </c>
      <c r="AX752" t="s">
        <v>74</v>
      </c>
      <c r="AY752" t="s">
        <v>74</v>
      </c>
      <c r="AZ752" t="s">
        <v>74</v>
      </c>
      <c r="BA752" t="s">
        <v>74</v>
      </c>
      <c r="BB752">
        <v>429</v>
      </c>
      <c r="BC752">
        <v>430</v>
      </c>
      <c r="BD752" t="s">
        <v>74</v>
      </c>
      <c r="BE752" t="s">
        <v>11875</v>
      </c>
      <c r="BF752" t="str">
        <f>HYPERLINK("http://dx.doi.org/10.1126/science.1134046","http://dx.doi.org/10.1126/science.1134046")</f>
        <v>http://dx.doi.org/10.1126/science.1134046</v>
      </c>
      <c r="BG752" t="s">
        <v>74</v>
      </c>
      <c r="BH752" t="s">
        <v>74</v>
      </c>
      <c r="BI752">
        <v>2</v>
      </c>
      <c r="BJ752" t="s">
        <v>884</v>
      </c>
      <c r="BK752" t="s">
        <v>97</v>
      </c>
      <c r="BL752" t="s">
        <v>885</v>
      </c>
      <c r="BM752" t="s">
        <v>11876</v>
      </c>
      <c r="BN752">
        <v>17053136</v>
      </c>
      <c r="BO752" t="s">
        <v>74</v>
      </c>
      <c r="BP752" t="s">
        <v>74</v>
      </c>
      <c r="BQ752" t="s">
        <v>74</v>
      </c>
      <c r="BR752" t="s">
        <v>100</v>
      </c>
      <c r="BS752" t="s">
        <v>11877</v>
      </c>
      <c r="BT752" t="str">
        <f>HYPERLINK("https%3A%2F%2Fwww.webofscience.com%2Fwos%2Fwoscc%2Ffull-record%2FWOS:000241382500028","View Full Record in Web of Science")</f>
        <v>View Full Record in Web of Science</v>
      </c>
    </row>
    <row r="753" spans="1:72" x14ac:dyDescent="0.15">
      <c r="A753" t="s">
        <v>72</v>
      </c>
      <c r="B753" t="s">
        <v>11878</v>
      </c>
      <c r="C753" t="s">
        <v>74</v>
      </c>
      <c r="D753" t="s">
        <v>74</v>
      </c>
      <c r="E753" t="s">
        <v>74</v>
      </c>
      <c r="F753" t="s">
        <v>11879</v>
      </c>
      <c r="G753" t="s">
        <v>74</v>
      </c>
      <c r="H753" t="s">
        <v>74</v>
      </c>
      <c r="I753" t="s">
        <v>11880</v>
      </c>
      <c r="J753" t="s">
        <v>7832</v>
      </c>
      <c r="K753" t="s">
        <v>74</v>
      </c>
      <c r="L753" t="s">
        <v>74</v>
      </c>
      <c r="M753" t="s">
        <v>78</v>
      </c>
      <c r="N753" t="s">
        <v>79</v>
      </c>
      <c r="O753" t="s">
        <v>74</v>
      </c>
      <c r="P753" t="s">
        <v>74</v>
      </c>
      <c r="Q753" t="s">
        <v>74</v>
      </c>
      <c r="R753" t="s">
        <v>74</v>
      </c>
      <c r="S753" t="s">
        <v>74</v>
      </c>
      <c r="T753" t="s">
        <v>11881</v>
      </c>
      <c r="U753" t="s">
        <v>11882</v>
      </c>
      <c r="V753" t="s">
        <v>11883</v>
      </c>
      <c r="W753" t="s">
        <v>11884</v>
      </c>
      <c r="X753" t="s">
        <v>11885</v>
      </c>
      <c r="Y753" t="s">
        <v>11886</v>
      </c>
      <c r="Z753" t="s">
        <v>11887</v>
      </c>
      <c r="AA753" t="s">
        <v>74</v>
      </c>
      <c r="AB753" t="s">
        <v>11888</v>
      </c>
      <c r="AC753" t="s">
        <v>74</v>
      </c>
      <c r="AD753" t="s">
        <v>74</v>
      </c>
      <c r="AE753" t="s">
        <v>74</v>
      </c>
      <c r="AF753" t="s">
        <v>74</v>
      </c>
      <c r="AG753">
        <v>85</v>
      </c>
      <c r="AH753">
        <v>15</v>
      </c>
      <c r="AI753">
        <v>16</v>
      </c>
      <c r="AJ753">
        <v>1</v>
      </c>
      <c r="AK753">
        <v>5</v>
      </c>
      <c r="AL753" t="s">
        <v>2829</v>
      </c>
      <c r="AM753" t="s">
        <v>903</v>
      </c>
      <c r="AN753" t="s">
        <v>2830</v>
      </c>
      <c r="AO753" t="s">
        <v>7843</v>
      </c>
      <c r="AP753" t="s">
        <v>7844</v>
      </c>
      <c r="AQ753" t="s">
        <v>74</v>
      </c>
      <c r="AR753" t="s">
        <v>7845</v>
      </c>
      <c r="AS753" t="s">
        <v>7846</v>
      </c>
      <c r="AT753" t="s">
        <v>11889</v>
      </c>
      <c r="AU753">
        <v>2006</v>
      </c>
      <c r="AV753">
        <v>240</v>
      </c>
      <c r="AW753" t="s">
        <v>1283</v>
      </c>
      <c r="AX753" t="s">
        <v>74</v>
      </c>
      <c r="AY753" t="s">
        <v>74</v>
      </c>
      <c r="AZ753" t="s">
        <v>74</v>
      </c>
      <c r="BA753" t="s">
        <v>74</v>
      </c>
      <c r="BB753">
        <v>587</v>
      </c>
      <c r="BC753">
        <v>601</v>
      </c>
      <c r="BD753" t="s">
        <v>74</v>
      </c>
      <c r="BE753" t="s">
        <v>11890</v>
      </c>
      <c r="BF753" t="str">
        <f>HYPERLINK("http://dx.doi.org/10.1016/j.palaeo.2006.03.009","http://dx.doi.org/10.1016/j.palaeo.2006.03.009")</f>
        <v>http://dx.doi.org/10.1016/j.palaeo.2006.03.009</v>
      </c>
      <c r="BG753" t="s">
        <v>74</v>
      </c>
      <c r="BH753" t="s">
        <v>74</v>
      </c>
      <c r="BI753">
        <v>15</v>
      </c>
      <c r="BJ753" t="s">
        <v>7849</v>
      </c>
      <c r="BK753" t="s">
        <v>97</v>
      </c>
      <c r="BL753" t="s">
        <v>7850</v>
      </c>
      <c r="BM753" t="s">
        <v>11891</v>
      </c>
      <c r="BN753" t="s">
        <v>74</v>
      </c>
      <c r="BO753" t="s">
        <v>74</v>
      </c>
      <c r="BP753" t="s">
        <v>74</v>
      </c>
      <c r="BQ753" t="s">
        <v>74</v>
      </c>
      <c r="BR753" t="s">
        <v>100</v>
      </c>
      <c r="BS753" t="s">
        <v>11892</v>
      </c>
      <c r="BT753" t="str">
        <f>HYPERLINK("https%3A%2F%2Fwww.webofscience.com%2Fwos%2Fwoscc%2Ffull-record%2FWOS:000241431200013","View Full Record in Web of Science")</f>
        <v>View Full Record in Web of Science</v>
      </c>
    </row>
    <row r="754" spans="1:72" x14ac:dyDescent="0.15">
      <c r="A754" t="s">
        <v>72</v>
      </c>
      <c r="B754" t="s">
        <v>11893</v>
      </c>
      <c r="C754" t="s">
        <v>74</v>
      </c>
      <c r="D754" t="s">
        <v>74</v>
      </c>
      <c r="E754" t="s">
        <v>74</v>
      </c>
      <c r="F754" t="s">
        <v>11894</v>
      </c>
      <c r="G754" t="s">
        <v>74</v>
      </c>
      <c r="H754" t="s">
        <v>74</v>
      </c>
      <c r="I754" t="s">
        <v>11895</v>
      </c>
      <c r="J754" t="s">
        <v>7231</v>
      </c>
      <c r="K754" t="s">
        <v>74</v>
      </c>
      <c r="L754" t="s">
        <v>74</v>
      </c>
      <c r="M754" t="s">
        <v>78</v>
      </c>
      <c r="N754" t="s">
        <v>79</v>
      </c>
      <c r="O754" t="s">
        <v>74</v>
      </c>
      <c r="P754" t="s">
        <v>74</v>
      </c>
      <c r="Q754" t="s">
        <v>74</v>
      </c>
      <c r="R754" t="s">
        <v>74</v>
      </c>
      <c r="S754" t="s">
        <v>74</v>
      </c>
      <c r="T754" t="s">
        <v>11896</v>
      </c>
      <c r="U754" t="s">
        <v>11897</v>
      </c>
      <c r="V754" t="s">
        <v>11898</v>
      </c>
      <c r="W754" t="s">
        <v>11899</v>
      </c>
      <c r="X754" t="s">
        <v>11900</v>
      </c>
      <c r="Y754" t="s">
        <v>11901</v>
      </c>
      <c r="Z754" t="s">
        <v>11902</v>
      </c>
      <c r="AA754" t="s">
        <v>11903</v>
      </c>
      <c r="AB754" t="s">
        <v>74</v>
      </c>
      <c r="AC754" t="s">
        <v>74</v>
      </c>
      <c r="AD754" t="s">
        <v>74</v>
      </c>
      <c r="AE754" t="s">
        <v>74</v>
      </c>
      <c r="AF754" t="s">
        <v>74</v>
      </c>
      <c r="AG754">
        <v>70</v>
      </c>
      <c r="AH754">
        <v>69</v>
      </c>
      <c r="AI754">
        <v>79</v>
      </c>
      <c r="AJ754">
        <v>0</v>
      </c>
      <c r="AK754">
        <v>33</v>
      </c>
      <c r="AL754" t="s">
        <v>7239</v>
      </c>
      <c r="AM754" t="s">
        <v>5498</v>
      </c>
      <c r="AN754" t="s">
        <v>7240</v>
      </c>
      <c r="AO754" t="s">
        <v>74</v>
      </c>
      <c r="AP754" t="s">
        <v>7241</v>
      </c>
      <c r="AQ754" t="s">
        <v>74</v>
      </c>
      <c r="AR754" t="s">
        <v>7242</v>
      </c>
      <c r="AS754" t="s">
        <v>7243</v>
      </c>
      <c r="AT754" t="s">
        <v>11904</v>
      </c>
      <c r="AU754">
        <v>2006</v>
      </c>
      <c r="AV754">
        <v>7</v>
      </c>
      <c r="AW754" t="s">
        <v>74</v>
      </c>
      <c r="AX754" t="s">
        <v>74</v>
      </c>
      <c r="AY754" t="s">
        <v>74</v>
      </c>
      <c r="AZ754" t="s">
        <v>74</v>
      </c>
      <c r="BA754" t="s">
        <v>74</v>
      </c>
      <c r="BB754" t="s">
        <v>74</v>
      </c>
      <c r="BC754" t="s">
        <v>74</v>
      </c>
      <c r="BD754" t="s">
        <v>11905</v>
      </c>
      <c r="BE754" t="s">
        <v>11906</v>
      </c>
      <c r="BF754" t="str">
        <f>HYPERLINK("http://dx.doi.org/10.1029/2006GC001282","http://dx.doi.org/10.1029/2006GC001282")</f>
        <v>http://dx.doi.org/10.1029/2006GC001282</v>
      </c>
      <c r="BG754" t="s">
        <v>74</v>
      </c>
      <c r="BH754" t="s">
        <v>74</v>
      </c>
      <c r="BI754">
        <v>23</v>
      </c>
      <c r="BJ754" t="s">
        <v>865</v>
      </c>
      <c r="BK754" t="s">
        <v>97</v>
      </c>
      <c r="BL754" t="s">
        <v>865</v>
      </c>
      <c r="BM754" t="s">
        <v>11907</v>
      </c>
      <c r="BN754" t="s">
        <v>74</v>
      </c>
      <c r="BO754" t="s">
        <v>124</v>
      </c>
      <c r="BP754" t="s">
        <v>74</v>
      </c>
      <c r="BQ754" t="s">
        <v>74</v>
      </c>
      <c r="BR754" t="s">
        <v>100</v>
      </c>
      <c r="BS754" t="s">
        <v>11908</v>
      </c>
      <c r="BT754" t="str">
        <f>HYPERLINK("https%3A%2F%2Fwww.webofscience.com%2Fwos%2Fwoscc%2Ffull-record%2FWOS:000241694000001","View Full Record in Web of Science")</f>
        <v>View Full Record in Web of Science</v>
      </c>
    </row>
    <row r="755" spans="1:72" x14ac:dyDescent="0.15">
      <c r="A755" t="s">
        <v>72</v>
      </c>
      <c r="B755" t="s">
        <v>11909</v>
      </c>
      <c r="C755" t="s">
        <v>74</v>
      </c>
      <c r="D755" t="s">
        <v>74</v>
      </c>
      <c r="E755" t="s">
        <v>74</v>
      </c>
      <c r="F755" t="s">
        <v>11910</v>
      </c>
      <c r="G755" t="s">
        <v>74</v>
      </c>
      <c r="H755" t="s">
        <v>74</v>
      </c>
      <c r="I755" t="s">
        <v>11911</v>
      </c>
      <c r="J755" t="s">
        <v>9700</v>
      </c>
      <c r="K755" t="s">
        <v>74</v>
      </c>
      <c r="L755" t="s">
        <v>74</v>
      </c>
      <c r="M755" t="s">
        <v>78</v>
      </c>
      <c r="N755" t="s">
        <v>79</v>
      </c>
      <c r="O755" t="s">
        <v>74</v>
      </c>
      <c r="P755" t="s">
        <v>74</v>
      </c>
      <c r="Q755" t="s">
        <v>74</v>
      </c>
      <c r="R755" t="s">
        <v>74</v>
      </c>
      <c r="S755" t="s">
        <v>74</v>
      </c>
      <c r="T755" t="s">
        <v>11912</v>
      </c>
      <c r="U755" t="s">
        <v>11913</v>
      </c>
      <c r="V755" t="s">
        <v>11914</v>
      </c>
      <c r="W755" t="s">
        <v>11915</v>
      </c>
      <c r="X755" t="s">
        <v>11916</v>
      </c>
      <c r="Y755" t="s">
        <v>11917</v>
      </c>
      <c r="Z755" t="s">
        <v>11918</v>
      </c>
      <c r="AA755" t="s">
        <v>74</v>
      </c>
      <c r="AB755" t="s">
        <v>74</v>
      </c>
      <c r="AC755" t="s">
        <v>74</v>
      </c>
      <c r="AD755" t="s">
        <v>74</v>
      </c>
      <c r="AE755" t="s">
        <v>74</v>
      </c>
      <c r="AF755" t="s">
        <v>74</v>
      </c>
      <c r="AG755">
        <v>60</v>
      </c>
      <c r="AH755">
        <v>9</v>
      </c>
      <c r="AI755">
        <v>10</v>
      </c>
      <c r="AJ755">
        <v>0</v>
      </c>
      <c r="AK755">
        <v>9</v>
      </c>
      <c r="AL755" t="s">
        <v>2829</v>
      </c>
      <c r="AM755" t="s">
        <v>903</v>
      </c>
      <c r="AN755" t="s">
        <v>2830</v>
      </c>
      <c r="AO755" t="s">
        <v>9708</v>
      </c>
      <c r="AP755" t="s">
        <v>9709</v>
      </c>
      <c r="AQ755" t="s">
        <v>74</v>
      </c>
      <c r="AR755" t="s">
        <v>9710</v>
      </c>
      <c r="AS755" t="s">
        <v>9711</v>
      </c>
      <c r="AT755" t="s">
        <v>11904</v>
      </c>
      <c r="AU755">
        <v>2006</v>
      </c>
      <c r="AV755">
        <v>232</v>
      </c>
      <c r="AW755" t="s">
        <v>94</v>
      </c>
      <c r="AX755" t="s">
        <v>74</v>
      </c>
      <c r="AY755" t="s">
        <v>74</v>
      </c>
      <c r="AZ755" t="s">
        <v>74</v>
      </c>
      <c r="BA755" t="s">
        <v>74</v>
      </c>
      <c r="BB755">
        <v>49</v>
      </c>
      <c r="BC755">
        <v>61</v>
      </c>
      <c r="BD755" t="s">
        <v>74</v>
      </c>
      <c r="BE755" t="s">
        <v>11919</v>
      </c>
      <c r="BF755" t="str">
        <f>HYPERLINK("http://dx.doi.org/10.1016/j.margeo.2006.07.002","http://dx.doi.org/10.1016/j.margeo.2006.07.002")</f>
        <v>http://dx.doi.org/10.1016/j.margeo.2006.07.002</v>
      </c>
      <c r="BG755" t="s">
        <v>74</v>
      </c>
      <c r="BH755" t="s">
        <v>74</v>
      </c>
      <c r="BI755">
        <v>13</v>
      </c>
      <c r="BJ755" t="s">
        <v>9714</v>
      </c>
      <c r="BK755" t="s">
        <v>97</v>
      </c>
      <c r="BL755" t="s">
        <v>6300</v>
      </c>
      <c r="BM755" t="s">
        <v>11920</v>
      </c>
      <c r="BN755" t="s">
        <v>74</v>
      </c>
      <c r="BO755" t="s">
        <v>74</v>
      </c>
      <c r="BP755" t="s">
        <v>74</v>
      </c>
      <c r="BQ755" t="s">
        <v>74</v>
      </c>
      <c r="BR755" t="s">
        <v>100</v>
      </c>
      <c r="BS755" t="s">
        <v>11921</v>
      </c>
      <c r="BT755" t="str">
        <f>HYPERLINK("https%3A%2F%2Fwww.webofscience.com%2Fwos%2Fwoscc%2Ffull-record%2FWOS:000241464800004","View Full Record in Web of Science")</f>
        <v>View Full Record in Web of Science</v>
      </c>
    </row>
    <row r="756" spans="1:72" x14ac:dyDescent="0.15">
      <c r="A756" t="s">
        <v>72</v>
      </c>
      <c r="B756" t="s">
        <v>11922</v>
      </c>
      <c r="C756" t="s">
        <v>74</v>
      </c>
      <c r="D756" t="s">
        <v>74</v>
      </c>
      <c r="E756" t="s">
        <v>74</v>
      </c>
      <c r="F756" t="s">
        <v>11923</v>
      </c>
      <c r="G756" t="s">
        <v>74</v>
      </c>
      <c r="H756" t="s">
        <v>74</v>
      </c>
      <c r="I756" t="s">
        <v>11924</v>
      </c>
      <c r="J756" t="s">
        <v>7547</v>
      </c>
      <c r="K756" t="s">
        <v>74</v>
      </c>
      <c r="L756" t="s">
        <v>74</v>
      </c>
      <c r="M756" t="s">
        <v>78</v>
      </c>
      <c r="N756" t="s">
        <v>79</v>
      </c>
      <c r="O756" t="s">
        <v>74</v>
      </c>
      <c r="P756" t="s">
        <v>74</v>
      </c>
      <c r="Q756" t="s">
        <v>74</v>
      </c>
      <c r="R756" t="s">
        <v>74</v>
      </c>
      <c r="S756" t="s">
        <v>74</v>
      </c>
      <c r="T756" t="s">
        <v>11925</v>
      </c>
      <c r="U756" t="s">
        <v>11926</v>
      </c>
      <c r="V756" t="s">
        <v>11927</v>
      </c>
      <c r="W756" t="s">
        <v>11928</v>
      </c>
      <c r="X756" t="s">
        <v>4080</v>
      </c>
      <c r="Y756" t="s">
        <v>11929</v>
      </c>
      <c r="Z756" t="s">
        <v>11930</v>
      </c>
      <c r="AA756" t="s">
        <v>74</v>
      </c>
      <c r="AB756" t="s">
        <v>11931</v>
      </c>
      <c r="AC756" t="s">
        <v>74</v>
      </c>
      <c r="AD756" t="s">
        <v>74</v>
      </c>
      <c r="AE756" t="s">
        <v>74</v>
      </c>
      <c r="AF756" t="s">
        <v>74</v>
      </c>
      <c r="AG756">
        <v>75</v>
      </c>
      <c r="AH756">
        <v>55</v>
      </c>
      <c r="AI756">
        <v>64</v>
      </c>
      <c r="AJ756">
        <v>1</v>
      </c>
      <c r="AK756">
        <v>24</v>
      </c>
      <c r="AL756" t="s">
        <v>2829</v>
      </c>
      <c r="AM756" t="s">
        <v>903</v>
      </c>
      <c r="AN756" t="s">
        <v>2830</v>
      </c>
      <c r="AO756" t="s">
        <v>7557</v>
      </c>
      <c r="AP756" t="s">
        <v>7558</v>
      </c>
      <c r="AQ756" t="s">
        <v>74</v>
      </c>
      <c r="AR756" t="s">
        <v>7559</v>
      </c>
      <c r="AS756" t="s">
        <v>7560</v>
      </c>
      <c r="AT756" t="s">
        <v>11932</v>
      </c>
      <c r="AU756">
        <v>2006</v>
      </c>
      <c r="AV756">
        <v>250</v>
      </c>
      <c r="AW756" t="s">
        <v>94</v>
      </c>
      <c r="AX756" t="s">
        <v>74</v>
      </c>
      <c r="AY756" t="s">
        <v>74</v>
      </c>
      <c r="AZ756" t="s">
        <v>74</v>
      </c>
      <c r="BA756" t="s">
        <v>74</v>
      </c>
      <c r="BB756">
        <v>72</v>
      </c>
      <c r="BC756">
        <v>88</v>
      </c>
      <c r="BD756" t="s">
        <v>74</v>
      </c>
      <c r="BE756" t="s">
        <v>11933</v>
      </c>
      <c r="BF756" t="str">
        <f>HYPERLINK("http://dx.doi.org/10.1016/j.epsl.2006.07.002","http://dx.doi.org/10.1016/j.epsl.2006.07.002")</f>
        <v>http://dx.doi.org/10.1016/j.epsl.2006.07.002</v>
      </c>
      <c r="BG756" t="s">
        <v>74</v>
      </c>
      <c r="BH756" t="s">
        <v>74</v>
      </c>
      <c r="BI756">
        <v>17</v>
      </c>
      <c r="BJ756" t="s">
        <v>865</v>
      </c>
      <c r="BK756" t="s">
        <v>97</v>
      </c>
      <c r="BL756" t="s">
        <v>865</v>
      </c>
      <c r="BM756" t="s">
        <v>11934</v>
      </c>
      <c r="BN756" t="s">
        <v>74</v>
      </c>
      <c r="BO756" t="s">
        <v>74</v>
      </c>
      <c r="BP756" t="s">
        <v>74</v>
      </c>
      <c r="BQ756" t="s">
        <v>74</v>
      </c>
      <c r="BR756" t="s">
        <v>100</v>
      </c>
      <c r="BS756" t="s">
        <v>11935</v>
      </c>
      <c r="BT756" t="str">
        <f>HYPERLINK("https%3A%2F%2Fwww.webofscience.com%2Fwos%2Fwoscc%2Ffull-record%2FWOS:000242050900007","View Full Record in Web of Science")</f>
        <v>View Full Record in Web of Science</v>
      </c>
    </row>
    <row r="757" spans="1:72" x14ac:dyDescent="0.15">
      <c r="A757" t="s">
        <v>72</v>
      </c>
      <c r="B757" t="s">
        <v>11936</v>
      </c>
      <c r="C757" t="s">
        <v>74</v>
      </c>
      <c r="D757" t="s">
        <v>74</v>
      </c>
      <c r="E757" t="s">
        <v>74</v>
      </c>
      <c r="F757" t="s">
        <v>11937</v>
      </c>
      <c r="G757" t="s">
        <v>74</v>
      </c>
      <c r="H757" t="s">
        <v>74</v>
      </c>
      <c r="I757" t="s">
        <v>11938</v>
      </c>
      <c r="J757" t="s">
        <v>7547</v>
      </c>
      <c r="K757" t="s">
        <v>74</v>
      </c>
      <c r="L757" t="s">
        <v>74</v>
      </c>
      <c r="M757" t="s">
        <v>78</v>
      </c>
      <c r="N757" t="s">
        <v>79</v>
      </c>
      <c r="O757" t="s">
        <v>74</v>
      </c>
      <c r="P757" t="s">
        <v>74</v>
      </c>
      <c r="Q757" t="s">
        <v>74</v>
      </c>
      <c r="R757" t="s">
        <v>74</v>
      </c>
      <c r="S757" t="s">
        <v>74</v>
      </c>
      <c r="T757" t="s">
        <v>11939</v>
      </c>
      <c r="U757" t="s">
        <v>11940</v>
      </c>
      <c r="V757" t="s">
        <v>11941</v>
      </c>
      <c r="W757" t="s">
        <v>11942</v>
      </c>
      <c r="X757" t="s">
        <v>11943</v>
      </c>
      <c r="Y757" t="s">
        <v>11944</v>
      </c>
      <c r="Z757" t="s">
        <v>11945</v>
      </c>
      <c r="AA757" t="s">
        <v>11946</v>
      </c>
      <c r="AB757" t="s">
        <v>11947</v>
      </c>
      <c r="AC757" t="s">
        <v>74</v>
      </c>
      <c r="AD757" t="s">
        <v>74</v>
      </c>
      <c r="AE757" t="s">
        <v>74</v>
      </c>
      <c r="AF757" t="s">
        <v>74</v>
      </c>
      <c r="AG757">
        <v>88</v>
      </c>
      <c r="AH757">
        <v>278</v>
      </c>
      <c r="AI757">
        <v>296</v>
      </c>
      <c r="AJ757">
        <v>1</v>
      </c>
      <c r="AK757">
        <v>34</v>
      </c>
      <c r="AL757" t="s">
        <v>2829</v>
      </c>
      <c r="AM757" t="s">
        <v>903</v>
      </c>
      <c r="AN757" t="s">
        <v>2830</v>
      </c>
      <c r="AO757" t="s">
        <v>7557</v>
      </c>
      <c r="AP757" t="s">
        <v>7558</v>
      </c>
      <c r="AQ757" t="s">
        <v>74</v>
      </c>
      <c r="AR757" t="s">
        <v>7559</v>
      </c>
      <c r="AS757" t="s">
        <v>7560</v>
      </c>
      <c r="AT757" t="s">
        <v>11932</v>
      </c>
      <c r="AU757">
        <v>2006</v>
      </c>
      <c r="AV757">
        <v>250</v>
      </c>
      <c r="AW757" t="s">
        <v>94</v>
      </c>
      <c r="AX757" t="s">
        <v>74</v>
      </c>
      <c r="AY757" t="s">
        <v>74</v>
      </c>
      <c r="AZ757" t="s">
        <v>74</v>
      </c>
      <c r="BA757" t="s">
        <v>74</v>
      </c>
      <c r="BB757">
        <v>116</v>
      </c>
      <c r="BC757">
        <v>133</v>
      </c>
      <c r="BD757" t="s">
        <v>74</v>
      </c>
      <c r="BE757" t="s">
        <v>11948</v>
      </c>
      <c r="BF757" t="str">
        <f>HYPERLINK("http://dx.doi.org/10.1016/j.epsl.2006.07.032","http://dx.doi.org/10.1016/j.epsl.2006.07.032")</f>
        <v>http://dx.doi.org/10.1016/j.epsl.2006.07.032</v>
      </c>
      <c r="BG757" t="s">
        <v>74</v>
      </c>
      <c r="BH757" t="s">
        <v>74</v>
      </c>
      <c r="BI757">
        <v>18</v>
      </c>
      <c r="BJ757" t="s">
        <v>865</v>
      </c>
      <c r="BK757" t="s">
        <v>97</v>
      </c>
      <c r="BL757" t="s">
        <v>865</v>
      </c>
      <c r="BM757" t="s">
        <v>11934</v>
      </c>
      <c r="BN757" t="s">
        <v>74</v>
      </c>
      <c r="BO757" t="s">
        <v>74</v>
      </c>
      <c r="BP757" t="s">
        <v>74</v>
      </c>
      <c r="BQ757" t="s">
        <v>74</v>
      </c>
      <c r="BR757" t="s">
        <v>100</v>
      </c>
      <c r="BS757" t="s">
        <v>11949</v>
      </c>
      <c r="BT757" t="str">
        <f>HYPERLINK("https%3A%2F%2Fwww.webofscience.com%2Fwos%2Fwoscc%2Ffull-record%2FWOS:000242050900010","View Full Record in Web of Science")</f>
        <v>View Full Record in Web of Science</v>
      </c>
    </row>
    <row r="758" spans="1:72" x14ac:dyDescent="0.15">
      <c r="A758" t="s">
        <v>72</v>
      </c>
      <c r="B758" t="s">
        <v>11950</v>
      </c>
      <c r="C758" t="s">
        <v>74</v>
      </c>
      <c r="D758" t="s">
        <v>74</v>
      </c>
      <c r="E758" t="s">
        <v>74</v>
      </c>
      <c r="F758" t="s">
        <v>11951</v>
      </c>
      <c r="G758" t="s">
        <v>74</v>
      </c>
      <c r="H758" t="s">
        <v>74</v>
      </c>
      <c r="I758" t="s">
        <v>11952</v>
      </c>
      <c r="J758" t="s">
        <v>7547</v>
      </c>
      <c r="K758" t="s">
        <v>74</v>
      </c>
      <c r="L758" t="s">
        <v>74</v>
      </c>
      <c r="M758" t="s">
        <v>78</v>
      </c>
      <c r="N758" t="s">
        <v>79</v>
      </c>
      <c r="O758" t="s">
        <v>74</v>
      </c>
      <c r="P758" t="s">
        <v>74</v>
      </c>
      <c r="Q758" t="s">
        <v>74</v>
      </c>
      <c r="R758" t="s">
        <v>74</v>
      </c>
      <c r="S758" t="s">
        <v>74</v>
      </c>
      <c r="T758" t="s">
        <v>11953</v>
      </c>
      <c r="U758" t="s">
        <v>11954</v>
      </c>
      <c r="V758" t="s">
        <v>11955</v>
      </c>
      <c r="W758" t="s">
        <v>11956</v>
      </c>
      <c r="X758" t="s">
        <v>11957</v>
      </c>
      <c r="Y758" t="s">
        <v>11958</v>
      </c>
      <c r="Z758" t="s">
        <v>11959</v>
      </c>
      <c r="AA758" t="s">
        <v>74</v>
      </c>
      <c r="AB758" t="s">
        <v>11960</v>
      </c>
      <c r="AC758" t="s">
        <v>74</v>
      </c>
      <c r="AD758" t="s">
        <v>74</v>
      </c>
      <c r="AE758" t="s">
        <v>74</v>
      </c>
      <c r="AF758" t="s">
        <v>74</v>
      </c>
      <c r="AG758">
        <v>61</v>
      </c>
      <c r="AH758">
        <v>42</v>
      </c>
      <c r="AI758">
        <v>43</v>
      </c>
      <c r="AJ758">
        <v>0</v>
      </c>
      <c r="AK758">
        <v>9</v>
      </c>
      <c r="AL758" t="s">
        <v>2829</v>
      </c>
      <c r="AM758" t="s">
        <v>903</v>
      </c>
      <c r="AN758" t="s">
        <v>2830</v>
      </c>
      <c r="AO758" t="s">
        <v>7557</v>
      </c>
      <c r="AP758" t="s">
        <v>7558</v>
      </c>
      <c r="AQ758" t="s">
        <v>74</v>
      </c>
      <c r="AR758" t="s">
        <v>7559</v>
      </c>
      <c r="AS758" t="s">
        <v>7560</v>
      </c>
      <c r="AT758" t="s">
        <v>11932</v>
      </c>
      <c r="AU758">
        <v>2006</v>
      </c>
      <c r="AV758">
        <v>250</v>
      </c>
      <c r="AW758" t="s">
        <v>94</v>
      </c>
      <c r="AX758" t="s">
        <v>74</v>
      </c>
      <c r="AY758" t="s">
        <v>74</v>
      </c>
      <c r="AZ758" t="s">
        <v>74</v>
      </c>
      <c r="BA758" t="s">
        <v>74</v>
      </c>
      <c r="BB758">
        <v>182</v>
      </c>
      <c r="BC758">
        <v>199</v>
      </c>
      <c r="BD758" t="s">
        <v>74</v>
      </c>
      <c r="BE758" t="s">
        <v>11961</v>
      </c>
      <c r="BF758" t="str">
        <f>HYPERLINK("http://dx.doi.org/10.1016/j.epsl.2006.07.035","http://dx.doi.org/10.1016/j.epsl.2006.07.035")</f>
        <v>http://dx.doi.org/10.1016/j.epsl.2006.07.035</v>
      </c>
      <c r="BG758" t="s">
        <v>74</v>
      </c>
      <c r="BH758" t="s">
        <v>74</v>
      </c>
      <c r="BI758">
        <v>18</v>
      </c>
      <c r="BJ758" t="s">
        <v>865</v>
      </c>
      <c r="BK758" t="s">
        <v>97</v>
      </c>
      <c r="BL758" t="s">
        <v>865</v>
      </c>
      <c r="BM758" t="s">
        <v>11934</v>
      </c>
      <c r="BN758" t="s">
        <v>74</v>
      </c>
      <c r="BO758" t="s">
        <v>74</v>
      </c>
      <c r="BP758" t="s">
        <v>74</v>
      </c>
      <c r="BQ758" t="s">
        <v>74</v>
      </c>
      <c r="BR758" t="s">
        <v>100</v>
      </c>
      <c r="BS758" t="s">
        <v>11962</v>
      </c>
      <c r="BT758" t="str">
        <f>HYPERLINK("https%3A%2F%2Fwww.webofscience.com%2Fwos%2Fwoscc%2Ffull-record%2FWOS:000242050900013","View Full Record in Web of Science")</f>
        <v>View Full Record in Web of Science</v>
      </c>
    </row>
    <row r="759" spans="1:72" x14ac:dyDescent="0.15">
      <c r="A759" t="s">
        <v>72</v>
      </c>
      <c r="B759" t="s">
        <v>11963</v>
      </c>
      <c r="C759" t="s">
        <v>74</v>
      </c>
      <c r="D759" t="s">
        <v>74</v>
      </c>
      <c r="E759" t="s">
        <v>74</v>
      </c>
      <c r="F759" t="s">
        <v>11964</v>
      </c>
      <c r="G759" t="s">
        <v>74</v>
      </c>
      <c r="H759" t="s">
        <v>74</v>
      </c>
      <c r="I759" t="s">
        <v>11965</v>
      </c>
      <c r="J759" t="s">
        <v>9899</v>
      </c>
      <c r="K759" t="s">
        <v>74</v>
      </c>
      <c r="L759" t="s">
        <v>74</v>
      </c>
      <c r="M759" t="s">
        <v>78</v>
      </c>
      <c r="N759" t="s">
        <v>79</v>
      </c>
      <c r="O759" t="s">
        <v>74</v>
      </c>
      <c r="P759" t="s">
        <v>74</v>
      </c>
      <c r="Q759" t="s">
        <v>74</v>
      </c>
      <c r="R759" t="s">
        <v>74</v>
      </c>
      <c r="S759" t="s">
        <v>74</v>
      </c>
      <c r="T759" t="s">
        <v>74</v>
      </c>
      <c r="U759" t="s">
        <v>11966</v>
      </c>
      <c r="V759" t="s">
        <v>11967</v>
      </c>
      <c r="W759" t="s">
        <v>11968</v>
      </c>
      <c r="X759" t="s">
        <v>11969</v>
      </c>
      <c r="Y759" t="s">
        <v>11970</v>
      </c>
      <c r="Z759" t="s">
        <v>11971</v>
      </c>
      <c r="AA759" t="s">
        <v>11972</v>
      </c>
      <c r="AB759" t="s">
        <v>11973</v>
      </c>
      <c r="AC759" t="s">
        <v>7918</v>
      </c>
      <c r="AD759" t="s">
        <v>1254</v>
      </c>
      <c r="AE759" t="s">
        <v>74</v>
      </c>
      <c r="AF759" t="s">
        <v>74</v>
      </c>
      <c r="AG759">
        <v>50</v>
      </c>
      <c r="AH759">
        <v>273</v>
      </c>
      <c r="AI759">
        <v>308</v>
      </c>
      <c r="AJ759">
        <v>2</v>
      </c>
      <c r="AK759">
        <v>53</v>
      </c>
      <c r="AL759" t="s">
        <v>4064</v>
      </c>
      <c r="AM759" t="s">
        <v>4065</v>
      </c>
      <c r="AN759" t="s">
        <v>4097</v>
      </c>
      <c r="AO759" t="s">
        <v>9906</v>
      </c>
      <c r="AP759" t="s">
        <v>9907</v>
      </c>
      <c r="AQ759" t="s">
        <v>74</v>
      </c>
      <c r="AR759" t="s">
        <v>9908</v>
      </c>
      <c r="AS759" t="s">
        <v>9909</v>
      </c>
      <c r="AT759" t="s">
        <v>11932</v>
      </c>
      <c r="AU759">
        <v>2006</v>
      </c>
      <c r="AV759">
        <v>19</v>
      </c>
      <c r="AW759">
        <v>20</v>
      </c>
      <c r="AX759" t="s">
        <v>74</v>
      </c>
      <c r="AY759" t="s">
        <v>74</v>
      </c>
      <c r="AZ759" t="s">
        <v>74</v>
      </c>
      <c r="BA759" t="s">
        <v>74</v>
      </c>
      <c r="BB759">
        <v>5388</v>
      </c>
      <c r="BC759">
        <v>5404</v>
      </c>
      <c r="BD759" t="s">
        <v>74</v>
      </c>
      <c r="BE759" t="s">
        <v>11974</v>
      </c>
      <c r="BF759" t="str">
        <f>HYPERLINK("http://dx.doi.org/10.1175/JCLI3844.1","http://dx.doi.org/10.1175/JCLI3844.1")</f>
        <v>http://dx.doi.org/10.1175/JCLI3844.1</v>
      </c>
      <c r="BG759" t="s">
        <v>74</v>
      </c>
      <c r="BH759" t="s">
        <v>74</v>
      </c>
      <c r="BI759">
        <v>17</v>
      </c>
      <c r="BJ759" t="s">
        <v>3208</v>
      </c>
      <c r="BK759" t="s">
        <v>97</v>
      </c>
      <c r="BL759" t="s">
        <v>3208</v>
      </c>
      <c r="BM759" t="s">
        <v>11975</v>
      </c>
      <c r="BN759" t="s">
        <v>74</v>
      </c>
      <c r="BO759" t="s">
        <v>1314</v>
      </c>
      <c r="BP759" t="s">
        <v>74</v>
      </c>
      <c r="BQ759" t="s">
        <v>74</v>
      </c>
      <c r="BR759" t="s">
        <v>100</v>
      </c>
      <c r="BS759" t="s">
        <v>11976</v>
      </c>
      <c r="BT759" t="str">
        <f>HYPERLINK("https%3A%2F%2Fwww.webofscience.com%2Fwos%2Fwoscc%2Ffull-record%2FWOS:000241755900020","View Full Record in Web of Science")</f>
        <v>View Full Record in Web of Science</v>
      </c>
    </row>
    <row r="760" spans="1:72" x14ac:dyDescent="0.15">
      <c r="A760" t="s">
        <v>72</v>
      </c>
      <c r="B760" t="s">
        <v>11977</v>
      </c>
      <c r="C760" t="s">
        <v>74</v>
      </c>
      <c r="D760" t="s">
        <v>74</v>
      </c>
      <c r="E760" t="s">
        <v>74</v>
      </c>
      <c r="F760" t="s">
        <v>11978</v>
      </c>
      <c r="G760" t="s">
        <v>74</v>
      </c>
      <c r="H760" t="s">
        <v>74</v>
      </c>
      <c r="I760" t="s">
        <v>11979</v>
      </c>
      <c r="J760" t="s">
        <v>7267</v>
      </c>
      <c r="K760" t="s">
        <v>74</v>
      </c>
      <c r="L760" t="s">
        <v>74</v>
      </c>
      <c r="M760" t="s">
        <v>78</v>
      </c>
      <c r="N760" t="s">
        <v>79</v>
      </c>
      <c r="O760" t="s">
        <v>74</v>
      </c>
      <c r="P760" t="s">
        <v>74</v>
      </c>
      <c r="Q760" t="s">
        <v>74</v>
      </c>
      <c r="R760" t="s">
        <v>74</v>
      </c>
      <c r="S760" t="s">
        <v>74</v>
      </c>
      <c r="T760" t="s">
        <v>11980</v>
      </c>
      <c r="U760" t="s">
        <v>11981</v>
      </c>
      <c r="V760" t="s">
        <v>11982</v>
      </c>
      <c r="W760" t="s">
        <v>11983</v>
      </c>
      <c r="X760" t="s">
        <v>3803</v>
      </c>
      <c r="Y760" t="s">
        <v>11984</v>
      </c>
      <c r="Z760" t="s">
        <v>11985</v>
      </c>
      <c r="AA760" t="s">
        <v>11986</v>
      </c>
      <c r="AB760" t="s">
        <v>11987</v>
      </c>
      <c r="AC760" t="s">
        <v>74</v>
      </c>
      <c r="AD760" t="s">
        <v>74</v>
      </c>
      <c r="AE760" t="s">
        <v>74</v>
      </c>
      <c r="AF760" t="s">
        <v>74</v>
      </c>
      <c r="AG760">
        <v>26</v>
      </c>
      <c r="AH760">
        <v>82</v>
      </c>
      <c r="AI760">
        <v>92</v>
      </c>
      <c r="AJ760">
        <v>0</v>
      </c>
      <c r="AK760">
        <v>27</v>
      </c>
      <c r="AL760" t="s">
        <v>838</v>
      </c>
      <c r="AM760" t="s">
        <v>678</v>
      </c>
      <c r="AN760" t="s">
        <v>839</v>
      </c>
      <c r="AO760" t="s">
        <v>7276</v>
      </c>
      <c r="AP760" t="s">
        <v>74</v>
      </c>
      <c r="AQ760" t="s">
        <v>74</v>
      </c>
      <c r="AR760" t="s">
        <v>7277</v>
      </c>
      <c r="AS760" t="s">
        <v>7278</v>
      </c>
      <c r="AT760" t="s">
        <v>11932</v>
      </c>
      <c r="AU760">
        <v>2006</v>
      </c>
      <c r="AV760">
        <v>104</v>
      </c>
      <c r="AW760">
        <v>3</v>
      </c>
      <c r="AX760" t="s">
        <v>74</v>
      </c>
      <c r="AY760" t="s">
        <v>74</v>
      </c>
      <c r="AZ760" t="s">
        <v>74</v>
      </c>
      <c r="BA760" t="s">
        <v>74</v>
      </c>
      <c r="BB760">
        <v>325</v>
      </c>
      <c r="BC760">
        <v>336</v>
      </c>
      <c r="BD760" t="s">
        <v>74</v>
      </c>
      <c r="BE760" t="s">
        <v>11988</v>
      </c>
      <c r="BF760" t="str">
        <f>HYPERLINK("http://dx.doi.org/10.1016/j.rse.2006.05.010","http://dx.doi.org/10.1016/j.rse.2006.05.010")</f>
        <v>http://dx.doi.org/10.1016/j.rse.2006.05.010</v>
      </c>
      <c r="BG760" t="s">
        <v>74</v>
      </c>
      <c r="BH760" t="s">
        <v>74</v>
      </c>
      <c r="BI760">
        <v>12</v>
      </c>
      <c r="BJ760" t="s">
        <v>7280</v>
      </c>
      <c r="BK760" t="s">
        <v>97</v>
      </c>
      <c r="BL760" t="s">
        <v>7281</v>
      </c>
      <c r="BM760" t="s">
        <v>11989</v>
      </c>
      <c r="BN760" t="s">
        <v>74</v>
      </c>
      <c r="BO760" t="s">
        <v>74</v>
      </c>
      <c r="BP760" t="s">
        <v>74</v>
      </c>
      <c r="BQ760" t="s">
        <v>74</v>
      </c>
      <c r="BR760" t="s">
        <v>100</v>
      </c>
      <c r="BS760" t="s">
        <v>11990</v>
      </c>
      <c r="BT760" t="str">
        <f>HYPERLINK("https%3A%2F%2Fwww.webofscience.com%2Fwos%2Fwoscc%2Ffull-record%2FWOS:000241080300006","View Full Record in Web of Science")</f>
        <v>View Full Record in Web of Science</v>
      </c>
    </row>
    <row r="761" spans="1:72" x14ac:dyDescent="0.15">
      <c r="A761" t="s">
        <v>72</v>
      </c>
      <c r="B761" t="s">
        <v>11991</v>
      </c>
      <c r="C761" t="s">
        <v>74</v>
      </c>
      <c r="D761" t="s">
        <v>74</v>
      </c>
      <c r="E761" t="s">
        <v>74</v>
      </c>
      <c r="F761" t="s">
        <v>11992</v>
      </c>
      <c r="G761" t="s">
        <v>74</v>
      </c>
      <c r="H761" t="s">
        <v>74</v>
      </c>
      <c r="I761" t="s">
        <v>11993</v>
      </c>
      <c r="J761" t="s">
        <v>11994</v>
      </c>
      <c r="K761" t="s">
        <v>74</v>
      </c>
      <c r="L761" t="s">
        <v>74</v>
      </c>
      <c r="M761" t="s">
        <v>78</v>
      </c>
      <c r="N761" t="s">
        <v>79</v>
      </c>
      <c r="O761" t="s">
        <v>74</v>
      </c>
      <c r="P761" t="s">
        <v>74</v>
      </c>
      <c r="Q761" t="s">
        <v>74</v>
      </c>
      <c r="R761" t="s">
        <v>74</v>
      </c>
      <c r="S761" t="s">
        <v>74</v>
      </c>
      <c r="T761" t="s">
        <v>74</v>
      </c>
      <c r="U761" t="s">
        <v>11995</v>
      </c>
      <c r="V761" t="s">
        <v>11996</v>
      </c>
      <c r="W761" t="s">
        <v>11997</v>
      </c>
      <c r="X761" t="s">
        <v>11998</v>
      </c>
      <c r="Y761" t="s">
        <v>11999</v>
      </c>
      <c r="Z761" t="s">
        <v>12000</v>
      </c>
      <c r="AA761" t="s">
        <v>74</v>
      </c>
      <c r="AB761" t="s">
        <v>74</v>
      </c>
      <c r="AC761" t="s">
        <v>74</v>
      </c>
      <c r="AD761" t="s">
        <v>74</v>
      </c>
      <c r="AE761" t="s">
        <v>74</v>
      </c>
      <c r="AF761" t="s">
        <v>74</v>
      </c>
      <c r="AG761">
        <v>27</v>
      </c>
      <c r="AH761">
        <v>15</v>
      </c>
      <c r="AI761">
        <v>16</v>
      </c>
      <c r="AJ761">
        <v>0</v>
      </c>
      <c r="AK761">
        <v>6</v>
      </c>
      <c r="AL761" t="s">
        <v>7239</v>
      </c>
      <c r="AM761" t="s">
        <v>5498</v>
      </c>
      <c r="AN761" t="s">
        <v>7240</v>
      </c>
      <c r="AO761" t="s">
        <v>12001</v>
      </c>
      <c r="AP761" t="s">
        <v>12002</v>
      </c>
      <c r="AQ761" t="s">
        <v>74</v>
      </c>
      <c r="AR761" t="s">
        <v>12003</v>
      </c>
      <c r="AS761" t="s">
        <v>12004</v>
      </c>
      <c r="AT761" t="s">
        <v>12005</v>
      </c>
      <c r="AU761">
        <v>2006</v>
      </c>
      <c r="AV761">
        <v>111</v>
      </c>
      <c r="AW761" t="s">
        <v>12006</v>
      </c>
      <c r="AX761" t="s">
        <v>74</v>
      </c>
      <c r="AY761" t="s">
        <v>74</v>
      </c>
      <c r="AZ761" t="s">
        <v>74</v>
      </c>
      <c r="BA761" t="s">
        <v>74</v>
      </c>
      <c r="BB761" t="s">
        <v>74</v>
      </c>
      <c r="BC761" t="s">
        <v>74</v>
      </c>
      <c r="BD761" t="s">
        <v>12007</v>
      </c>
      <c r="BE761" t="s">
        <v>12008</v>
      </c>
      <c r="BF761" t="str">
        <f>HYPERLINK("http://dx.doi.org/10.1029/2006JF000552","http://dx.doi.org/10.1029/2006JF000552")</f>
        <v>http://dx.doi.org/10.1029/2006JF000552</v>
      </c>
      <c r="BG761" t="s">
        <v>74</v>
      </c>
      <c r="BH761" t="s">
        <v>74</v>
      </c>
      <c r="BI761">
        <v>11</v>
      </c>
      <c r="BJ761" t="s">
        <v>685</v>
      </c>
      <c r="BK761" t="s">
        <v>97</v>
      </c>
      <c r="BL761" t="s">
        <v>642</v>
      </c>
      <c r="BM761" t="s">
        <v>12009</v>
      </c>
      <c r="BN761" t="s">
        <v>74</v>
      </c>
      <c r="BO761" t="s">
        <v>124</v>
      </c>
      <c r="BP761" t="s">
        <v>74</v>
      </c>
      <c r="BQ761" t="s">
        <v>74</v>
      </c>
      <c r="BR761" t="s">
        <v>100</v>
      </c>
      <c r="BS761" t="s">
        <v>12010</v>
      </c>
      <c r="BT761" t="str">
        <f>HYPERLINK("https%3A%2F%2Fwww.webofscience.com%2Fwos%2Fwoscc%2Ffull-record%2FWOS:000241298500001","View Full Record in Web of Science")</f>
        <v>View Full Record in Web of Science</v>
      </c>
    </row>
    <row r="762" spans="1:72" x14ac:dyDescent="0.15">
      <c r="A762" t="s">
        <v>72</v>
      </c>
      <c r="B762" t="s">
        <v>12011</v>
      </c>
      <c r="C762" t="s">
        <v>74</v>
      </c>
      <c r="D762" t="s">
        <v>74</v>
      </c>
      <c r="E762" t="s">
        <v>74</v>
      </c>
      <c r="F762" t="s">
        <v>12012</v>
      </c>
      <c r="G762" t="s">
        <v>74</v>
      </c>
      <c r="H762" t="s">
        <v>74</v>
      </c>
      <c r="I762" t="s">
        <v>12013</v>
      </c>
      <c r="J762" t="s">
        <v>7231</v>
      </c>
      <c r="K762" t="s">
        <v>74</v>
      </c>
      <c r="L762" t="s">
        <v>74</v>
      </c>
      <c r="M762" t="s">
        <v>78</v>
      </c>
      <c r="N762" t="s">
        <v>366</v>
      </c>
      <c r="O762" t="s">
        <v>74</v>
      </c>
      <c r="P762" t="s">
        <v>74</v>
      </c>
      <c r="Q762" t="s">
        <v>74</v>
      </c>
      <c r="R762" t="s">
        <v>74</v>
      </c>
      <c r="S762" t="s">
        <v>74</v>
      </c>
      <c r="T762" t="s">
        <v>12014</v>
      </c>
      <c r="U762" t="s">
        <v>12015</v>
      </c>
      <c r="V762" t="s">
        <v>12016</v>
      </c>
      <c r="W762" t="s">
        <v>12017</v>
      </c>
      <c r="X762" t="s">
        <v>12018</v>
      </c>
      <c r="Y762" t="s">
        <v>12019</v>
      </c>
      <c r="Z762" t="s">
        <v>12020</v>
      </c>
      <c r="AA762" t="s">
        <v>12021</v>
      </c>
      <c r="AB762" t="s">
        <v>12022</v>
      </c>
      <c r="AC762" t="s">
        <v>12023</v>
      </c>
      <c r="AD762" t="s">
        <v>1647</v>
      </c>
      <c r="AE762" t="s">
        <v>74</v>
      </c>
      <c r="AF762" t="s">
        <v>74</v>
      </c>
      <c r="AG762">
        <v>172</v>
      </c>
      <c r="AH762">
        <v>263</v>
      </c>
      <c r="AI762">
        <v>286</v>
      </c>
      <c r="AJ762">
        <v>5</v>
      </c>
      <c r="AK762">
        <v>82</v>
      </c>
      <c r="AL762" t="s">
        <v>7239</v>
      </c>
      <c r="AM762" t="s">
        <v>5498</v>
      </c>
      <c r="AN762" t="s">
        <v>7240</v>
      </c>
      <c r="AO762" t="s">
        <v>7241</v>
      </c>
      <c r="AP762" t="s">
        <v>74</v>
      </c>
      <c r="AQ762" t="s">
        <v>74</v>
      </c>
      <c r="AR762" t="s">
        <v>7242</v>
      </c>
      <c r="AS762" t="s">
        <v>7243</v>
      </c>
      <c r="AT762" t="s">
        <v>12024</v>
      </c>
      <c r="AU762">
        <v>2006</v>
      </c>
      <c r="AV762">
        <v>7</v>
      </c>
      <c r="AW762" t="s">
        <v>74</v>
      </c>
      <c r="AX762" t="s">
        <v>74</v>
      </c>
      <c r="AY762" t="s">
        <v>74</v>
      </c>
      <c r="AZ762" t="s">
        <v>74</v>
      </c>
      <c r="BA762" t="s">
        <v>74</v>
      </c>
      <c r="BB762" t="s">
        <v>74</v>
      </c>
      <c r="BC762" t="s">
        <v>74</v>
      </c>
      <c r="BD762" t="s">
        <v>12025</v>
      </c>
      <c r="BE762" t="s">
        <v>12026</v>
      </c>
      <c r="BF762" t="str">
        <f>HYPERLINK("http://dx.doi.org/10.1029/2006GC001284","http://dx.doi.org/10.1029/2006GC001284")</f>
        <v>http://dx.doi.org/10.1029/2006GC001284</v>
      </c>
      <c r="BG762" t="s">
        <v>74</v>
      </c>
      <c r="BH762" t="s">
        <v>74</v>
      </c>
      <c r="BI762">
        <v>37</v>
      </c>
      <c r="BJ762" t="s">
        <v>865</v>
      </c>
      <c r="BK762" t="s">
        <v>97</v>
      </c>
      <c r="BL762" t="s">
        <v>865</v>
      </c>
      <c r="BM762" t="s">
        <v>12027</v>
      </c>
      <c r="BN762" t="s">
        <v>74</v>
      </c>
      <c r="BO762" t="s">
        <v>11757</v>
      </c>
      <c r="BP762" t="s">
        <v>74</v>
      </c>
      <c r="BQ762" t="s">
        <v>74</v>
      </c>
      <c r="BR762" t="s">
        <v>100</v>
      </c>
      <c r="BS762" t="s">
        <v>12028</v>
      </c>
      <c r="BT762" t="str">
        <f>HYPERLINK("https%3A%2F%2Fwww.webofscience.com%2Fwos%2Fwoscc%2Ffull-record%2FWOS:000241293800002","View Full Record in Web of Science")</f>
        <v>View Full Record in Web of Science</v>
      </c>
    </row>
    <row r="763" spans="1:72" x14ac:dyDescent="0.15">
      <c r="A763" t="s">
        <v>72</v>
      </c>
      <c r="B763" t="s">
        <v>12029</v>
      </c>
      <c r="C763" t="s">
        <v>74</v>
      </c>
      <c r="D763" t="s">
        <v>74</v>
      </c>
      <c r="E763" t="s">
        <v>74</v>
      </c>
      <c r="F763" t="s">
        <v>12030</v>
      </c>
      <c r="G763" t="s">
        <v>74</v>
      </c>
      <c r="H763" t="s">
        <v>74</v>
      </c>
      <c r="I763" t="s">
        <v>12031</v>
      </c>
      <c r="J763" t="s">
        <v>7251</v>
      </c>
      <c r="K763" t="s">
        <v>74</v>
      </c>
      <c r="L763" t="s">
        <v>74</v>
      </c>
      <c r="M763" t="s">
        <v>78</v>
      </c>
      <c r="N763" t="s">
        <v>79</v>
      </c>
      <c r="O763" t="s">
        <v>74</v>
      </c>
      <c r="P763" t="s">
        <v>74</v>
      </c>
      <c r="Q763" t="s">
        <v>74</v>
      </c>
      <c r="R763" t="s">
        <v>74</v>
      </c>
      <c r="S763" t="s">
        <v>74</v>
      </c>
      <c r="T763" t="s">
        <v>74</v>
      </c>
      <c r="U763" t="s">
        <v>12032</v>
      </c>
      <c r="V763" t="s">
        <v>12033</v>
      </c>
      <c r="W763" t="s">
        <v>12034</v>
      </c>
      <c r="X763" t="s">
        <v>12035</v>
      </c>
      <c r="Y763" t="s">
        <v>12036</v>
      </c>
      <c r="Z763" t="s">
        <v>12037</v>
      </c>
      <c r="AA763" t="s">
        <v>12038</v>
      </c>
      <c r="AB763" t="s">
        <v>12039</v>
      </c>
      <c r="AC763" t="s">
        <v>7758</v>
      </c>
      <c r="AD763" t="s">
        <v>1254</v>
      </c>
      <c r="AE763" t="s">
        <v>74</v>
      </c>
      <c r="AF763" t="s">
        <v>74</v>
      </c>
      <c r="AG763">
        <v>16</v>
      </c>
      <c r="AH763">
        <v>34</v>
      </c>
      <c r="AI763">
        <v>35</v>
      </c>
      <c r="AJ763">
        <v>0</v>
      </c>
      <c r="AK763">
        <v>3</v>
      </c>
      <c r="AL763" t="s">
        <v>7239</v>
      </c>
      <c r="AM763" t="s">
        <v>5498</v>
      </c>
      <c r="AN763" t="s">
        <v>7240</v>
      </c>
      <c r="AO763" t="s">
        <v>7257</v>
      </c>
      <c r="AP763" t="s">
        <v>7394</v>
      </c>
      <c r="AQ763" t="s">
        <v>74</v>
      </c>
      <c r="AR763" t="s">
        <v>7258</v>
      </c>
      <c r="AS763" t="s">
        <v>7259</v>
      </c>
      <c r="AT763" t="s">
        <v>12040</v>
      </c>
      <c r="AU763">
        <v>2006</v>
      </c>
      <c r="AV763">
        <v>33</v>
      </c>
      <c r="AW763">
        <v>19</v>
      </c>
      <c r="AX763" t="s">
        <v>74</v>
      </c>
      <c r="AY763" t="s">
        <v>74</v>
      </c>
      <c r="AZ763" t="s">
        <v>74</v>
      </c>
      <c r="BA763" t="s">
        <v>74</v>
      </c>
      <c r="BB763" t="s">
        <v>74</v>
      </c>
      <c r="BC763" t="s">
        <v>74</v>
      </c>
      <c r="BD763" t="s">
        <v>12041</v>
      </c>
      <c r="BE763" t="s">
        <v>12042</v>
      </c>
      <c r="BF763" t="str">
        <f>HYPERLINK("http://dx.doi.org/10.1029/2006GL026727","http://dx.doi.org/10.1029/2006GL026727")</f>
        <v>http://dx.doi.org/10.1029/2006GL026727</v>
      </c>
      <c r="BG763" t="s">
        <v>74</v>
      </c>
      <c r="BH763" t="s">
        <v>74</v>
      </c>
      <c r="BI763">
        <v>5</v>
      </c>
      <c r="BJ763" t="s">
        <v>685</v>
      </c>
      <c r="BK763" t="s">
        <v>97</v>
      </c>
      <c r="BL763" t="s">
        <v>642</v>
      </c>
      <c r="BM763" t="s">
        <v>12043</v>
      </c>
      <c r="BN763" t="s">
        <v>74</v>
      </c>
      <c r="BO763" t="s">
        <v>124</v>
      </c>
      <c r="BP763" t="s">
        <v>74</v>
      </c>
      <c r="BQ763" t="s">
        <v>74</v>
      </c>
      <c r="BR763" t="s">
        <v>100</v>
      </c>
      <c r="BS763" t="s">
        <v>12044</v>
      </c>
      <c r="BT763" t="str">
        <f>HYPERLINK("https%3A%2F%2Fwww.webofscience.com%2Fwos%2Fwoscc%2Ffull-record%2FWOS:000241118500005","View Full Record in Web of Science")</f>
        <v>View Full Record in Web of Science</v>
      </c>
    </row>
    <row r="764" spans="1:72" x14ac:dyDescent="0.15">
      <c r="A764" t="s">
        <v>72</v>
      </c>
      <c r="B764" t="s">
        <v>12045</v>
      </c>
      <c r="C764" t="s">
        <v>74</v>
      </c>
      <c r="D764" t="s">
        <v>74</v>
      </c>
      <c r="E764" t="s">
        <v>74</v>
      </c>
      <c r="F764" t="s">
        <v>12046</v>
      </c>
      <c r="G764" t="s">
        <v>74</v>
      </c>
      <c r="H764" t="s">
        <v>74</v>
      </c>
      <c r="I764" t="s">
        <v>12047</v>
      </c>
      <c r="J764" t="s">
        <v>12048</v>
      </c>
      <c r="K764" t="s">
        <v>74</v>
      </c>
      <c r="L764" t="s">
        <v>74</v>
      </c>
      <c r="M764" t="s">
        <v>78</v>
      </c>
      <c r="N764" t="s">
        <v>79</v>
      </c>
      <c r="O764" t="s">
        <v>74</v>
      </c>
      <c r="P764" t="s">
        <v>74</v>
      </c>
      <c r="Q764" t="s">
        <v>74</v>
      </c>
      <c r="R764" t="s">
        <v>74</v>
      </c>
      <c r="S764" t="s">
        <v>74</v>
      </c>
      <c r="T764" t="s">
        <v>12049</v>
      </c>
      <c r="U764" t="s">
        <v>12050</v>
      </c>
      <c r="V764" t="s">
        <v>12051</v>
      </c>
      <c r="W764" t="s">
        <v>12052</v>
      </c>
      <c r="X764" t="s">
        <v>12053</v>
      </c>
      <c r="Y764" t="s">
        <v>12054</v>
      </c>
      <c r="Z764" t="s">
        <v>12055</v>
      </c>
      <c r="AA764" t="s">
        <v>12056</v>
      </c>
      <c r="AB764" t="s">
        <v>12057</v>
      </c>
      <c r="AC764" t="s">
        <v>74</v>
      </c>
      <c r="AD764" t="s">
        <v>74</v>
      </c>
      <c r="AE764" t="s">
        <v>74</v>
      </c>
      <c r="AF764" t="s">
        <v>74</v>
      </c>
      <c r="AG764">
        <v>21</v>
      </c>
      <c r="AH764">
        <v>25</v>
      </c>
      <c r="AI764">
        <v>26</v>
      </c>
      <c r="AJ764">
        <v>0</v>
      </c>
      <c r="AK764">
        <v>34</v>
      </c>
      <c r="AL764" t="s">
        <v>2829</v>
      </c>
      <c r="AM764" t="s">
        <v>903</v>
      </c>
      <c r="AN764" t="s">
        <v>2830</v>
      </c>
      <c r="AO764" t="s">
        <v>12058</v>
      </c>
      <c r="AP764" t="s">
        <v>12059</v>
      </c>
      <c r="AQ764" t="s">
        <v>74</v>
      </c>
      <c r="AR764" t="s">
        <v>12060</v>
      </c>
      <c r="AS764" t="s">
        <v>12061</v>
      </c>
      <c r="AT764" t="s">
        <v>12062</v>
      </c>
      <c r="AU764">
        <v>2006</v>
      </c>
      <c r="AV764">
        <v>101</v>
      </c>
      <c r="AW764" t="s">
        <v>1283</v>
      </c>
      <c r="AX764" t="s">
        <v>74</v>
      </c>
      <c r="AY764" t="s">
        <v>74</v>
      </c>
      <c r="AZ764" t="s">
        <v>74</v>
      </c>
      <c r="BA764" t="s">
        <v>74</v>
      </c>
      <c r="BB764">
        <v>180</v>
      </c>
      <c r="BC764">
        <v>189</v>
      </c>
      <c r="BD764" t="s">
        <v>74</v>
      </c>
      <c r="BE764" t="s">
        <v>12063</v>
      </c>
      <c r="BF764" t="str">
        <f>HYPERLINK("http://dx.doi.org/10.1016/j.marchem.2006.02.006","http://dx.doi.org/10.1016/j.marchem.2006.02.006")</f>
        <v>http://dx.doi.org/10.1016/j.marchem.2006.02.006</v>
      </c>
      <c r="BG764" t="s">
        <v>74</v>
      </c>
      <c r="BH764" t="s">
        <v>74</v>
      </c>
      <c r="BI764">
        <v>10</v>
      </c>
      <c r="BJ764" t="s">
        <v>12064</v>
      </c>
      <c r="BK764" t="s">
        <v>97</v>
      </c>
      <c r="BL764" t="s">
        <v>12065</v>
      </c>
      <c r="BM764" t="s">
        <v>12066</v>
      </c>
      <c r="BN764" t="s">
        <v>74</v>
      </c>
      <c r="BO764" t="s">
        <v>124</v>
      </c>
      <c r="BP764" t="s">
        <v>74</v>
      </c>
      <c r="BQ764" t="s">
        <v>74</v>
      </c>
      <c r="BR764" t="s">
        <v>100</v>
      </c>
      <c r="BS764" t="s">
        <v>12067</v>
      </c>
      <c r="BT764" t="str">
        <f>HYPERLINK("https%3A%2F%2Fwww.webofscience.com%2Fwos%2Fwoscc%2Ffull-record%2FWOS:000239849400003","View Full Record in Web of Science")</f>
        <v>View Full Record in Web of Science</v>
      </c>
    </row>
    <row r="765" spans="1:72" x14ac:dyDescent="0.15">
      <c r="A765" t="s">
        <v>72</v>
      </c>
      <c r="B765" t="s">
        <v>12068</v>
      </c>
      <c r="C765" t="s">
        <v>74</v>
      </c>
      <c r="D765" t="s">
        <v>74</v>
      </c>
      <c r="E765" t="s">
        <v>74</v>
      </c>
      <c r="F765" t="s">
        <v>12069</v>
      </c>
      <c r="G765" t="s">
        <v>74</v>
      </c>
      <c r="H765" t="s">
        <v>74</v>
      </c>
      <c r="I765" t="s">
        <v>12070</v>
      </c>
      <c r="J765" t="s">
        <v>7251</v>
      </c>
      <c r="K765" t="s">
        <v>74</v>
      </c>
      <c r="L765" t="s">
        <v>74</v>
      </c>
      <c r="M765" t="s">
        <v>78</v>
      </c>
      <c r="N765" t="s">
        <v>79</v>
      </c>
      <c r="O765" t="s">
        <v>74</v>
      </c>
      <c r="P765" t="s">
        <v>74</v>
      </c>
      <c r="Q765" t="s">
        <v>74</v>
      </c>
      <c r="R765" t="s">
        <v>74</v>
      </c>
      <c r="S765" t="s">
        <v>74</v>
      </c>
      <c r="T765" t="s">
        <v>74</v>
      </c>
      <c r="U765" t="s">
        <v>12071</v>
      </c>
      <c r="V765" t="s">
        <v>12072</v>
      </c>
      <c r="W765" t="s">
        <v>12073</v>
      </c>
      <c r="X765" t="s">
        <v>12074</v>
      </c>
      <c r="Y765" t="s">
        <v>12075</v>
      </c>
      <c r="Z765" t="s">
        <v>12076</v>
      </c>
      <c r="AA765" t="s">
        <v>12077</v>
      </c>
      <c r="AB765" t="s">
        <v>12078</v>
      </c>
      <c r="AC765" t="s">
        <v>74</v>
      </c>
      <c r="AD765" t="s">
        <v>74</v>
      </c>
      <c r="AE765" t="s">
        <v>74</v>
      </c>
      <c r="AF765" t="s">
        <v>74</v>
      </c>
      <c r="AG765">
        <v>21</v>
      </c>
      <c r="AH765">
        <v>321</v>
      </c>
      <c r="AI765">
        <v>349</v>
      </c>
      <c r="AJ765">
        <v>1</v>
      </c>
      <c r="AK765">
        <v>80</v>
      </c>
      <c r="AL765" t="s">
        <v>7239</v>
      </c>
      <c r="AM765" t="s">
        <v>5498</v>
      </c>
      <c r="AN765" t="s">
        <v>7240</v>
      </c>
      <c r="AO765" t="s">
        <v>7257</v>
      </c>
      <c r="AP765" t="s">
        <v>7394</v>
      </c>
      <c r="AQ765" t="s">
        <v>74</v>
      </c>
      <c r="AR765" t="s">
        <v>7258</v>
      </c>
      <c r="AS765" t="s">
        <v>7259</v>
      </c>
      <c r="AT765" t="s">
        <v>12079</v>
      </c>
      <c r="AU765">
        <v>2006</v>
      </c>
      <c r="AV765">
        <v>33</v>
      </c>
      <c r="AW765">
        <v>19</v>
      </c>
      <c r="AX765" t="s">
        <v>74</v>
      </c>
      <c r="AY765" t="s">
        <v>74</v>
      </c>
      <c r="AZ765" t="s">
        <v>74</v>
      </c>
      <c r="BA765" t="s">
        <v>74</v>
      </c>
      <c r="BB765" t="s">
        <v>74</v>
      </c>
      <c r="BC765" t="s">
        <v>74</v>
      </c>
      <c r="BD765" t="s">
        <v>12080</v>
      </c>
      <c r="BE765" t="s">
        <v>12081</v>
      </c>
      <c r="BF765" t="str">
        <f>HYPERLINK("http://dx.doi.org/10.1029/2006GL027511","http://dx.doi.org/10.1029/2006GL027511")</f>
        <v>http://dx.doi.org/10.1029/2006GL027511</v>
      </c>
      <c r="BG765" t="s">
        <v>74</v>
      </c>
      <c r="BH765" t="s">
        <v>74</v>
      </c>
      <c r="BI765">
        <v>5</v>
      </c>
      <c r="BJ765" t="s">
        <v>685</v>
      </c>
      <c r="BK765" t="s">
        <v>97</v>
      </c>
      <c r="BL765" t="s">
        <v>642</v>
      </c>
      <c r="BM765" t="s">
        <v>12082</v>
      </c>
      <c r="BN765" t="s">
        <v>74</v>
      </c>
      <c r="BO765" t="s">
        <v>124</v>
      </c>
      <c r="BP765" t="s">
        <v>74</v>
      </c>
      <c r="BQ765" t="s">
        <v>74</v>
      </c>
      <c r="BR765" t="s">
        <v>100</v>
      </c>
      <c r="BS765" t="s">
        <v>12083</v>
      </c>
      <c r="BT765" t="str">
        <f>HYPERLINK("https%3A%2F%2Fwww.webofscience.com%2Fwos%2Fwoscc%2Ffull-record%2FWOS:000241118000008","View Full Record in Web of Science")</f>
        <v>View Full Record in Web of Science</v>
      </c>
    </row>
    <row r="766" spans="1:72" x14ac:dyDescent="0.15">
      <c r="A766" t="s">
        <v>72</v>
      </c>
      <c r="B766" t="s">
        <v>12084</v>
      </c>
      <c r="C766" t="s">
        <v>74</v>
      </c>
      <c r="D766" t="s">
        <v>74</v>
      </c>
      <c r="E766" t="s">
        <v>74</v>
      </c>
      <c r="F766" t="s">
        <v>12085</v>
      </c>
      <c r="G766" t="s">
        <v>74</v>
      </c>
      <c r="H766" t="s">
        <v>74</v>
      </c>
      <c r="I766" t="s">
        <v>12086</v>
      </c>
      <c r="J766" t="s">
        <v>7251</v>
      </c>
      <c r="K766" t="s">
        <v>74</v>
      </c>
      <c r="L766" t="s">
        <v>74</v>
      </c>
      <c r="M766" t="s">
        <v>78</v>
      </c>
      <c r="N766" t="s">
        <v>79</v>
      </c>
      <c r="O766" t="s">
        <v>74</v>
      </c>
      <c r="P766" t="s">
        <v>74</v>
      </c>
      <c r="Q766" t="s">
        <v>74</v>
      </c>
      <c r="R766" t="s">
        <v>74</v>
      </c>
      <c r="S766" t="s">
        <v>74</v>
      </c>
      <c r="T766" t="s">
        <v>74</v>
      </c>
      <c r="U766" t="s">
        <v>12087</v>
      </c>
      <c r="V766" t="s">
        <v>12088</v>
      </c>
      <c r="W766" t="s">
        <v>12089</v>
      </c>
      <c r="X766" t="s">
        <v>12090</v>
      </c>
      <c r="Y766" t="s">
        <v>12091</v>
      </c>
      <c r="Z766" t="s">
        <v>12092</v>
      </c>
      <c r="AA766" t="s">
        <v>12093</v>
      </c>
      <c r="AB766" t="s">
        <v>12094</v>
      </c>
      <c r="AC766" t="s">
        <v>74</v>
      </c>
      <c r="AD766" t="s">
        <v>74</v>
      </c>
      <c r="AE766" t="s">
        <v>74</v>
      </c>
      <c r="AF766" t="s">
        <v>74</v>
      </c>
      <c r="AG766">
        <v>23</v>
      </c>
      <c r="AH766">
        <v>43</v>
      </c>
      <c r="AI766">
        <v>50</v>
      </c>
      <c r="AJ766">
        <v>0</v>
      </c>
      <c r="AK766">
        <v>14</v>
      </c>
      <c r="AL766" t="s">
        <v>7239</v>
      </c>
      <c r="AM766" t="s">
        <v>5498</v>
      </c>
      <c r="AN766" t="s">
        <v>7240</v>
      </c>
      <c r="AO766" t="s">
        <v>7257</v>
      </c>
      <c r="AP766" t="s">
        <v>7394</v>
      </c>
      <c r="AQ766" t="s">
        <v>74</v>
      </c>
      <c r="AR766" t="s">
        <v>7258</v>
      </c>
      <c r="AS766" t="s">
        <v>7259</v>
      </c>
      <c r="AT766" t="s">
        <v>12079</v>
      </c>
      <c r="AU766">
        <v>2006</v>
      </c>
      <c r="AV766">
        <v>33</v>
      </c>
      <c r="AW766">
        <v>19</v>
      </c>
      <c r="AX766" t="s">
        <v>74</v>
      </c>
      <c r="AY766" t="s">
        <v>74</v>
      </c>
      <c r="AZ766" t="s">
        <v>74</v>
      </c>
      <c r="BA766" t="s">
        <v>74</v>
      </c>
      <c r="BB766" t="s">
        <v>74</v>
      </c>
      <c r="BC766" t="s">
        <v>74</v>
      </c>
      <c r="BD766" t="s">
        <v>12095</v>
      </c>
      <c r="BE766" t="s">
        <v>12096</v>
      </c>
      <c r="BF766" t="str">
        <f>HYPERLINK("http://dx.doi.org/10.1029/2006GL026685","http://dx.doi.org/10.1029/2006GL026685")</f>
        <v>http://dx.doi.org/10.1029/2006GL026685</v>
      </c>
      <c r="BG766" t="s">
        <v>74</v>
      </c>
      <c r="BH766" t="s">
        <v>74</v>
      </c>
      <c r="BI766">
        <v>5</v>
      </c>
      <c r="BJ766" t="s">
        <v>685</v>
      </c>
      <c r="BK766" t="s">
        <v>97</v>
      </c>
      <c r="BL766" t="s">
        <v>642</v>
      </c>
      <c r="BM766" t="s">
        <v>12082</v>
      </c>
      <c r="BN766" t="s">
        <v>74</v>
      </c>
      <c r="BO766" t="s">
        <v>12097</v>
      </c>
      <c r="BP766" t="s">
        <v>74</v>
      </c>
      <c r="BQ766" t="s">
        <v>74</v>
      </c>
      <c r="BR766" t="s">
        <v>100</v>
      </c>
      <c r="BS766" t="s">
        <v>12098</v>
      </c>
      <c r="BT766" t="str">
        <f>HYPERLINK("https%3A%2F%2Fwww.webofscience.com%2Fwos%2Fwoscc%2Ffull-record%2FWOS:000241118000001","View Full Record in Web of Science")</f>
        <v>View Full Record in Web of Science</v>
      </c>
    </row>
    <row r="767" spans="1:72" x14ac:dyDescent="0.15">
      <c r="A767" t="s">
        <v>72</v>
      </c>
      <c r="B767" t="s">
        <v>12099</v>
      </c>
      <c r="C767" t="s">
        <v>74</v>
      </c>
      <c r="D767" t="s">
        <v>74</v>
      </c>
      <c r="E767" t="s">
        <v>74</v>
      </c>
      <c r="F767" t="s">
        <v>12100</v>
      </c>
      <c r="G767" t="s">
        <v>74</v>
      </c>
      <c r="H767" t="s">
        <v>74</v>
      </c>
      <c r="I767" t="s">
        <v>12101</v>
      </c>
      <c r="J767" t="s">
        <v>7251</v>
      </c>
      <c r="K767" t="s">
        <v>74</v>
      </c>
      <c r="L767" t="s">
        <v>74</v>
      </c>
      <c r="M767" t="s">
        <v>78</v>
      </c>
      <c r="N767" t="s">
        <v>79</v>
      </c>
      <c r="O767" t="s">
        <v>74</v>
      </c>
      <c r="P767" t="s">
        <v>74</v>
      </c>
      <c r="Q767" t="s">
        <v>74</v>
      </c>
      <c r="R767" t="s">
        <v>74</v>
      </c>
      <c r="S767" t="s">
        <v>74</v>
      </c>
      <c r="T767" t="s">
        <v>74</v>
      </c>
      <c r="U767" t="s">
        <v>12102</v>
      </c>
      <c r="V767" t="s">
        <v>12103</v>
      </c>
      <c r="W767" t="s">
        <v>12104</v>
      </c>
      <c r="X767" t="s">
        <v>2933</v>
      </c>
      <c r="Y767" t="s">
        <v>12105</v>
      </c>
      <c r="Z767" t="s">
        <v>12106</v>
      </c>
      <c r="AA767" t="s">
        <v>12107</v>
      </c>
      <c r="AB767" t="s">
        <v>12108</v>
      </c>
      <c r="AC767" t="s">
        <v>74</v>
      </c>
      <c r="AD767" t="s">
        <v>74</v>
      </c>
      <c r="AE767" t="s">
        <v>74</v>
      </c>
      <c r="AF767" t="s">
        <v>74</v>
      </c>
      <c r="AG767">
        <v>18</v>
      </c>
      <c r="AH767">
        <v>16</v>
      </c>
      <c r="AI767">
        <v>18</v>
      </c>
      <c r="AJ767">
        <v>0</v>
      </c>
      <c r="AK767">
        <v>6</v>
      </c>
      <c r="AL767" t="s">
        <v>7239</v>
      </c>
      <c r="AM767" t="s">
        <v>5498</v>
      </c>
      <c r="AN767" t="s">
        <v>7240</v>
      </c>
      <c r="AO767" t="s">
        <v>7257</v>
      </c>
      <c r="AP767" t="s">
        <v>74</v>
      </c>
      <c r="AQ767" t="s">
        <v>74</v>
      </c>
      <c r="AR767" t="s">
        <v>7258</v>
      </c>
      <c r="AS767" t="s">
        <v>7259</v>
      </c>
      <c r="AT767" t="s">
        <v>12109</v>
      </c>
      <c r="AU767">
        <v>2006</v>
      </c>
      <c r="AV767">
        <v>33</v>
      </c>
      <c r="AW767">
        <v>19</v>
      </c>
      <c r="AX767" t="s">
        <v>74</v>
      </c>
      <c r="AY767" t="s">
        <v>74</v>
      </c>
      <c r="AZ767" t="s">
        <v>74</v>
      </c>
      <c r="BA767" t="s">
        <v>74</v>
      </c>
      <c r="BB767" t="s">
        <v>74</v>
      </c>
      <c r="BC767" t="s">
        <v>74</v>
      </c>
      <c r="BD767" t="s">
        <v>12110</v>
      </c>
      <c r="BE767" t="s">
        <v>12111</v>
      </c>
      <c r="BF767" t="str">
        <f>HYPERLINK("http://dx.doi.org/10.1029/2006GL026174","http://dx.doi.org/10.1029/2006GL026174")</f>
        <v>http://dx.doi.org/10.1029/2006GL026174</v>
      </c>
      <c r="BG767" t="s">
        <v>74</v>
      </c>
      <c r="BH767" t="s">
        <v>74</v>
      </c>
      <c r="BI767">
        <v>5</v>
      </c>
      <c r="BJ767" t="s">
        <v>685</v>
      </c>
      <c r="BK767" t="s">
        <v>97</v>
      </c>
      <c r="BL767" t="s">
        <v>642</v>
      </c>
      <c r="BM767" t="s">
        <v>12112</v>
      </c>
      <c r="BN767" t="s">
        <v>74</v>
      </c>
      <c r="BO767" t="s">
        <v>124</v>
      </c>
      <c r="BP767" t="s">
        <v>74</v>
      </c>
      <c r="BQ767" t="s">
        <v>74</v>
      </c>
      <c r="BR767" t="s">
        <v>100</v>
      </c>
      <c r="BS767" t="s">
        <v>12113</v>
      </c>
      <c r="BT767" t="str">
        <f>HYPERLINK("https%3A%2F%2Fwww.webofscience.com%2Fwos%2Fwoscc%2Ffull-record%2FWOS:000241117800002","View Full Record in Web of Science")</f>
        <v>View Full Record in Web of Science</v>
      </c>
    </row>
    <row r="768" spans="1:72" x14ac:dyDescent="0.15">
      <c r="A768" t="s">
        <v>72</v>
      </c>
      <c r="B768" t="s">
        <v>12114</v>
      </c>
      <c r="C768" t="s">
        <v>74</v>
      </c>
      <c r="D768" t="s">
        <v>74</v>
      </c>
      <c r="E768" t="s">
        <v>74</v>
      </c>
      <c r="F768" t="s">
        <v>12115</v>
      </c>
      <c r="G768" t="s">
        <v>74</v>
      </c>
      <c r="H768" t="s">
        <v>74</v>
      </c>
      <c r="I768" t="s">
        <v>12116</v>
      </c>
      <c r="J768" t="s">
        <v>12117</v>
      </c>
      <c r="K768" t="s">
        <v>74</v>
      </c>
      <c r="L768" t="s">
        <v>74</v>
      </c>
      <c r="M768" t="s">
        <v>78</v>
      </c>
      <c r="N768" t="s">
        <v>79</v>
      </c>
      <c r="O768" t="s">
        <v>74</v>
      </c>
      <c r="P768" t="s">
        <v>74</v>
      </c>
      <c r="Q768" t="s">
        <v>74</v>
      </c>
      <c r="R768" t="s">
        <v>74</v>
      </c>
      <c r="S768" t="s">
        <v>74</v>
      </c>
      <c r="T768" t="s">
        <v>12118</v>
      </c>
      <c r="U768" t="s">
        <v>12119</v>
      </c>
      <c r="V768" t="s">
        <v>12120</v>
      </c>
      <c r="W768" t="s">
        <v>12121</v>
      </c>
      <c r="X768" t="s">
        <v>12122</v>
      </c>
      <c r="Y768" t="s">
        <v>10538</v>
      </c>
      <c r="Z768" t="s">
        <v>10539</v>
      </c>
      <c r="AA768" t="s">
        <v>11447</v>
      </c>
      <c r="AB768" t="s">
        <v>12123</v>
      </c>
      <c r="AC768" t="s">
        <v>74</v>
      </c>
      <c r="AD768" t="s">
        <v>74</v>
      </c>
      <c r="AE768" t="s">
        <v>74</v>
      </c>
      <c r="AF768" t="s">
        <v>74</v>
      </c>
      <c r="AG768">
        <v>42</v>
      </c>
      <c r="AH768">
        <v>7</v>
      </c>
      <c r="AI768">
        <v>7</v>
      </c>
      <c r="AJ768">
        <v>0</v>
      </c>
      <c r="AK768">
        <v>14</v>
      </c>
      <c r="AL768" t="s">
        <v>12124</v>
      </c>
      <c r="AM768" t="s">
        <v>12125</v>
      </c>
      <c r="AN768" t="s">
        <v>12126</v>
      </c>
      <c r="AO768" t="s">
        <v>74</v>
      </c>
      <c r="AP768" t="s">
        <v>12127</v>
      </c>
      <c r="AQ768" t="s">
        <v>74</v>
      </c>
      <c r="AR768" t="s">
        <v>12128</v>
      </c>
      <c r="AS768" t="s">
        <v>12129</v>
      </c>
      <c r="AT768" t="s">
        <v>12130</v>
      </c>
      <c r="AU768">
        <v>2006</v>
      </c>
      <c r="AV768">
        <v>103</v>
      </c>
      <c r="AW768">
        <v>4</v>
      </c>
      <c r="AX768" t="s">
        <v>74</v>
      </c>
      <c r="AY768" t="s">
        <v>74</v>
      </c>
      <c r="AZ768" t="s">
        <v>74</v>
      </c>
      <c r="BA768" t="s">
        <v>74</v>
      </c>
      <c r="BB768">
        <v>717</v>
      </c>
      <c r="BC768">
        <v>723</v>
      </c>
      <c r="BD768" t="s">
        <v>74</v>
      </c>
      <c r="BE768" t="s">
        <v>12131</v>
      </c>
      <c r="BF768" t="str">
        <f>HYPERLINK("http://dx.doi.org/10.14411/eje.2006.095","http://dx.doi.org/10.14411/eje.2006.095")</f>
        <v>http://dx.doi.org/10.14411/eje.2006.095</v>
      </c>
      <c r="BG768" t="s">
        <v>74</v>
      </c>
      <c r="BH768" t="s">
        <v>74</v>
      </c>
      <c r="BI768">
        <v>7</v>
      </c>
      <c r="BJ768" t="s">
        <v>12132</v>
      </c>
      <c r="BK768" t="s">
        <v>97</v>
      </c>
      <c r="BL768" t="s">
        <v>12132</v>
      </c>
      <c r="BM768" t="s">
        <v>12133</v>
      </c>
      <c r="BN768" t="s">
        <v>74</v>
      </c>
      <c r="BO768" t="s">
        <v>448</v>
      </c>
      <c r="BP768" t="s">
        <v>74</v>
      </c>
      <c r="BQ768" t="s">
        <v>74</v>
      </c>
      <c r="BR768" t="s">
        <v>100</v>
      </c>
      <c r="BS768" t="s">
        <v>12134</v>
      </c>
      <c r="BT768" t="str">
        <f>HYPERLINK("https%3A%2F%2Fwww.webofscience.com%2Fwos%2Fwoscc%2Ffull-record%2FWOS:000241464100001","View Full Record in Web of Science")</f>
        <v>View Full Record in Web of Science</v>
      </c>
    </row>
    <row r="769" spans="1:72" x14ac:dyDescent="0.15">
      <c r="A769" t="s">
        <v>72</v>
      </c>
      <c r="B769" t="s">
        <v>12135</v>
      </c>
      <c r="C769" t="s">
        <v>74</v>
      </c>
      <c r="D769" t="s">
        <v>74</v>
      </c>
      <c r="E769" t="s">
        <v>74</v>
      </c>
      <c r="F769" t="s">
        <v>12135</v>
      </c>
      <c r="G769" t="s">
        <v>74</v>
      </c>
      <c r="H769" t="s">
        <v>74</v>
      </c>
      <c r="I769" t="s">
        <v>12136</v>
      </c>
      <c r="J769" t="s">
        <v>12137</v>
      </c>
      <c r="K769" t="s">
        <v>74</v>
      </c>
      <c r="L769" t="s">
        <v>74</v>
      </c>
      <c r="M769" t="s">
        <v>78</v>
      </c>
      <c r="N769" t="s">
        <v>79</v>
      </c>
      <c r="O769" t="s">
        <v>74</v>
      </c>
      <c r="P769" t="s">
        <v>74</v>
      </c>
      <c r="Q769" t="s">
        <v>74</v>
      </c>
      <c r="R769" t="s">
        <v>74</v>
      </c>
      <c r="S769" t="s">
        <v>74</v>
      </c>
      <c r="T769" t="s">
        <v>12138</v>
      </c>
      <c r="U769" t="s">
        <v>12139</v>
      </c>
      <c r="V769" t="s">
        <v>12140</v>
      </c>
      <c r="W769" t="s">
        <v>12141</v>
      </c>
      <c r="X769" t="s">
        <v>12142</v>
      </c>
      <c r="Y769" t="s">
        <v>12143</v>
      </c>
      <c r="Z769" t="s">
        <v>12144</v>
      </c>
      <c r="AA769" t="s">
        <v>74</v>
      </c>
      <c r="AB769" t="s">
        <v>74</v>
      </c>
      <c r="AC769" t="s">
        <v>74</v>
      </c>
      <c r="AD769" t="s">
        <v>74</v>
      </c>
      <c r="AE769" t="s">
        <v>74</v>
      </c>
      <c r="AF769" t="s">
        <v>74</v>
      </c>
      <c r="AG769">
        <v>51</v>
      </c>
      <c r="AH769">
        <v>27</v>
      </c>
      <c r="AI769">
        <v>27</v>
      </c>
      <c r="AJ769">
        <v>0</v>
      </c>
      <c r="AK769">
        <v>4</v>
      </c>
      <c r="AL769" t="s">
        <v>4040</v>
      </c>
      <c r="AM769" t="s">
        <v>2429</v>
      </c>
      <c r="AN769" t="s">
        <v>4041</v>
      </c>
      <c r="AO769" t="s">
        <v>12145</v>
      </c>
      <c r="AP769" t="s">
        <v>12146</v>
      </c>
      <c r="AQ769" t="s">
        <v>74</v>
      </c>
      <c r="AR769" t="s">
        <v>12147</v>
      </c>
      <c r="AS769" t="s">
        <v>12148</v>
      </c>
      <c r="AT769" t="s">
        <v>12149</v>
      </c>
      <c r="AU769">
        <v>2006</v>
      </c>
      <c r="AV769">
        <v>48</v>
      </c>
      <c r="AW769" t="s">
        <v>6664</v>
      </c>
      <c r="AX769" t="s">
        <v>74</v>
      </c>
      <c r="AY769" t="s">
        <v>74</v>
      </c>
      <c r="AZ769" t="s">
        <v>74</v>
      </c>
      <c r="BA769" t="s">
        <v>74</v>
      </c>
      <c r="BB769">
        <v>91</v>
      </c>
      <c r="BC769">
        <v>97</v>
      </c>
      <c r="BD769" t="s">
        <v>74</v>
      </c>
      <c r="BE769" t="s">
        <v>74</v>
      </c>
      <c r="BF769" t="s">
        <v>74</v>
      </c>
      <c r="BG769" t="s">
        <v>74</v>
      </c>
      <c r="BH769" t="s">
        <v>74</v>
      </c>
      <c r="BI769">
        <v>7</v>
      </c>
      <c r="BJ769" t="s">
        <v>12150</v>
      </c>
      <c r="BK769" t="s">
        <v>4048</v>
      </c>
      <c r="BL769" t="s">
        <v>12151</v>
      </c>
      <c r="BM769" t="s">
        <v>12152</v>
      </c>
      <c r="BN769" t="s">
        <v>74</v>
      </c>
      <c r="BO769" t="s">
        <v>74</v>
      </c>
      <c r="BP769" t="s">
        <v>74</v>
      </c>
      <c r="BQ769" t="s">
        <v>74</v>
      </c>
      <c r="BR769" t="s">
        <v>100</v>
      </c>
      <c r="BS769" t="s">
        <v>12153</v>
      </c>
      <c r="BT769" t="str">
        <f>HYPERLINK("https%3A%2F%2Fwww.webofscience.com%2Fwos%2Fwoscc%2Ffull-record%2FWOS:000234777700004","View Full Record in Web of Science")</f>
        <v>View Full Record in Web of Science</v>
      </c>
    </row>
    <row r="770" spans="1:72" x14ac:dyDescent="0.15">
      <c r="A770" t="s">
        <v>72</v>
      </c>
      <c r="B770" t="s">
        <v>12154</v>
      </c>
      <c r="C770" t="s">
        <v>74</v>
      </c>
      <c r="D770" t="s">
        <v>74</v>
      </c>
      <c r="E770" t="s">
        <v>74</v>
      </c>
      <c r="F770" t="s">
        <v>12155</v>
      </c>
      <c r="G770" t="s">
        <v>74</v>
      </c>
      <c r="H770" t="s">
        <v>74</v>
      </c>
      <c r="I770" t="s">
        <v>12156</v>
      </c>
      <c r="J770" t="s">
        <v>12157</v>
      </c>
      <c r="K770" t="s">
        <v>74</v>
      </c>
      <c r="L770" t="s">
        <v>74</v>
      </c>
      <c r="M770" t="s">
        <v>78</v>
      </c>
      <c r="N770" t="s">
        <v>4036</v>
      </c>
      <c r="O770" t="s">
        <v>74</v>
      </c>
      <c r="P770" t="s">
        <v>74</v>
      </c>
      <c r="Q770" t="s">
        <v>74</v>
      </c>
      <c r="R770" t="s">
        <v>74</v>
      </c>
      <c r="S770" t="s">
        <v>74</v>
      </c>
      <c r="T770" t="s">
        <v>74</v>
      </c>
      <c r="U770" t="s">
        <v>74</v>
      </c>
      <c r="V770" t="s">
        <v>74</v>
      </c>
      <c r="W770" t="s">
        <v>12158</v>
      </c>
      <c r="X770" t="s">
        <v>12159</v>
      </c>
      <c r="Y770" t="s">
        <v>12160</v>
      </c>
      <c r="Z770" t="s">
        <v>74</v>
      </c>
      <c r="AA770" t="s">
        <v>74</v>
      </c>
      <c r="AB770" t="s">
        <v>12161</v>
      </c>
      <c r="AC770" t="s">
        <v>74</v>
      </c>
      <c r="AD770" t="s">
        <v>74</v>
      </c>
      <c r="AE770" t="s">
        <v>74</v>
      </c>
      <c r="AF770" t="s">
        <v>74</v>
      </c>
      <c r="AG770">
        <v>1</v>
      </c>
      <c r="AH770">
        <v>0</v>
      </c>
      <c r="AI770">
        <v>0</v>
      </c>
      <c r="AJ770">
        <v>0</v>
      </c>
      <c r="AK770">
        <v>0</v>
      </c>
      <c r="AL770" t="s">
        <v>2428</v>
      </c>
      <c r="AM770" t="s">
        <v>2429</v>
      </c>
      <c r="AN770" t="s">
        <v>3220</v>
      </c>
      <c r="AO770" t="s">
        <v>12162</v>
      </c>
      <c r="AP770" t="s">
        <v>74</v>
      </c>
      <c r="AQ770" t="s">
        <v>74</v>
      </c>
      <c r="AR770" t="s">
        <v>12163</v>
      </c>
      <c r="AS770" t="s">
        <v>12164</v>
      </c>
      <c r="AT770" t="s">
        <v>12165</v>
      </c>
      <c r="AU770">
        <v>2006</v>
      </c>
      <c r="AV770">
        <v>63</v>
      </c>
      <c r="AW770">
        <v>4</v>
      </c>
      <c r="AX770" t="s">
        <v>74</v>
      </c>
      <c r="AY770" t="s">
        <v>74</v>
      </c>
      <c r="AZ770" t="s">
        <v>74</v>
      </c>
      <c r="BA770" t="s">
        <v>74</v>
      </c>
      <c r="BB770">
        <v>517</v>
      </c>
      <c r="BC770">
        <v>519</v>
      </c>
      <c r="BD770" t="s">
        <v>74</v>
      </c>
      <c r="BE770" t="s">
        <v>74</v>
      </c>
      <c r="BF770" t="s">
        <v>74</v>
      </c>
      <c r="BG770" t="s">
        <v>74</v>
      </c>
      <c r="BH770" t="s">
        <v>74</v>
      </c>
      <c r="BI770">
        <v>3</v>
      </c>
      <c r="BJ770" t="s">
        <v>12166</v>
      </c>
      <c r="BK770" t="s">
        <v>3330</v>
      </c>
      <c r="BL770" t="s">
        <v>12167</v>
      </c>
      <c r="BM770" t="s">
        <v>12168</v>
      </c>
      <c r="BN770" t="s">
        <v>74</v>
      </c>
      <c r="BO770" t="s">
        <v>74</v>
      </c>
      <c r="BP770" t="s">
        <v>74</v>
      </c>
      <c r="BQ770" t="s">
        <v>74</v>
      </c>
      <c r="BR770" t="s">
        <v>100</v>
      </c>
      <c r="BS770" t="s">
        <v>12169</v>
      </c>
      <c r="BT770" t="str">
        <f>HYPERLINK("https%3A%2F%2Fwww.webofscience.com%2Fwos%2Fwoscc%2Ffull-record%2FWOS:000241100500013","View Full Record in Web of Science")</f>
        <v>View Full Record in Web of Science</v>
      </c>
    </row>
    <row r="771" spans="1:72" x14ac:dyDescent="0.15">
      <c r="A771" t="s">
        <v>72</v>
      </c>
      <c r="B771" t="s">
        <v>12170</v>
      </c>
      <c r="C771" t="s">
        <v>74</v>
      </c>
      <c r="D771" t="s">
        <v>74</v>
      </c>
      <c r="E771" t="s">
        <v>74</v>
      </c>
      <c r="F771" t="s">
        <v>12171</v>
      </c>
      <c r="G771" t="s">
        <v>74</v>
      </c>
      <c r="H771" t="s">
        <v>74</v>
      </c>
      <c r="I771" t="s">
        <v>12172</v>
      </c>
      <c r="J771" t="s">
        <v>12173</v>
      </c>
      <c r="K771" t="s">
        <v>74</v>
      </c>
      <c r="L771" t="s">
        <v>74</v>
      </c>
      <c r="M771" t="s">
        <v>78</v>
      </c>
      <c r="N771" t="s">
        <v>79</v>
      </c>
      <c r="O771" t="s">
        <v>74</v>
      </c>
      <c r="P771" t="s">
        <v>74</v>
      </c>
      <c r="Q771" t="s">
        <v>74</v>
      </c>
      <c r="R771" t="s">
        <v>74</v>
      </c>
      <c r="S771" t="s">
        <v>74</v>
      </c>
      <c r="T771" t="s">
        <v>12174</v>
      </c>
      <c r="U771" t="s">
        <v>12175</v>
      </c>
      <c r="V771" t="s">
        <v>12176</v>
      </c>
      <c r="W771" t="s">
        <v>12177</v>
      </c>
      <c r="X771" t="s">
        <v>12178</v>
      </c>
      <c r="Y771" t="s">
        <v>12179</v>
      </c>
      <c r="Z771" t="s">
        <v>12180</v>
      </c>
      <c r="AA771" t="s">
        <v>12181</v>
      </c>
      <c r="AB771" t="s">
        <v>12182</v>
      </c>
      <c r="AC771" t="s">
        <v>74</v>
      </c>
      <c r="AD771" t="s">
        <v>74</v>
      </c>
      <c r="AE771" t="s">
        <v>74</v>
      </c>
      <c r="AF771" t="s">
        <v>74</v>
      </c>
      <c r="AG771">
        <v>61</v>
      </c>
      <c r="AH771">
        <v>41</v>
      </c>
      <c r="AI771">
        <v>45</v>
      </c>
      <c r="AJ771">
        <v>0</v>
      </c>
      <c r="AK771">
        <v>14</v>
      </c>
      <c r="AL771" t="s">
        <v>10703</v>
      </c>
      <c r="AM771" t="s">
        <v>12183</v>
      </c>
      <c r="AN771" t="s">
        <v>12184</v>
      </c>
      <c r="AO771" t="s">
        <v>12185</v>
      </c>
      <c r="AP771" t="s">
        <v>12186</v>
      </c>
      <c r="AQ771" t="s">
        <v>74</v>
      </c>
      <c r="AR771" t="s">
        <v>12173</v>
      </c>
      <c r="AS771" t="s">
        <v>12187</v>
      </c>
      <c r="AT771" t="s">
        <v>12165</v>
      </c>
      <c r="AU771">
        <v>2006</v>
      </c>
      <c r="AV771">
        <v>88</v>
      </c>
      <c r="AW771">
        <v>10</v>
      </c>
      <c r="AX771" t="s">
        <v>74</v>
      </c>
      <c r="AY771" t="s">
        <v>74</v>
      </c>
      <c r="AZ771" t="s">
        <v>74</v>
      </c>
      <c r="BA771" t="s">
        <v>74</v>
      </c>
      <c r="BB771">
        <v>1377</v>
      </c>
      <c r="BC771">
        <v>1389</v>
      </c>
      <c r="BD771" t="s">
        <v>74</v>
      </c>
      <c r="BE771" t="s">
        <v>12188</v>
      </c>
      <c r="BF771" t="str">
        <f>HYPERLINK("http://dx.doi.org/10.1016/j.biochi.2006.04.005","http://dx.doi.org/10.1016/j.biochi.2006.04.005")</f>
        <v>http://dx.doi.org/10.1016/j.biochi.2006.04.005</v>
      </c>
      <c r="BG771" t="s">
        <v>74</v>
      </c>
      <c r="BH771" t="s">
        <v>74</v>
      </c>
      <c r="BI771">
        <v>13</v>
      </c>
      <c r="BJ771" t="s">
        <v>6282</v>
      </c>
      <c r="BK771" t="s">
        <v>97</v>
      </c>
      <c r="BL771" t="s">
        <v>6282</v>
      </c>
      <c r="BM771" t="s">
        <v>12189</v>
      </c>
      <c r="BN771">
        <v>16713057</v>
      </c>
      <c r="BO771" t="s">
        <v>74</v>
      </c>
      <c r="BP771" t="s">
        <v>74</v>
      </c>
      <c r="BQ771" t="s">
        <v>74</v>
      </c>
      <c r="BR771" t="s">
        <v>100</v>
      </c>
      <c r="BS771" t="s">
        <v>12190</v>
      </c>
      <c r="BT771" t="str">
        <f>HYPERLINK("https%3A%2F%2Fwww.webofscience.com%2Fwos%2Fwoscc%2Ffull-record%2FWOS:000242460000007","View Full Record in Web of Science")</f>
        <v>View Full Record in Web of Science</v>
      </c>
    </row>
    <row r="772" spans="1:72" x14ac:dyDescent="0.15">
      <c r="A772" t="s">
        <v>72</v>
      </c>
      <c r="B772" t="s">
        <v>12191</v>
      </c>
      <c r="C772" t="s">
        <v>74</v>
      </c>
      <c r="D772" t="s">
        <v>74</v>
      </c>
      <c r="E772" t="s">
        <v>74</v>
      </c>
      <c r="F772" t="s">
        <v>12192</v>
      </c>
      <c r="G772" t="s">
        <v>74</v>
      </c>
      <c r="H772" t="s">
        <v>74</v>
      </c>
      <c r="I772" t="s">
        <v>12193</v>
      </c>
      <c r="J772" t="s">
        <v>12194</v>
      </c>
      <c r="K772" t="s">
        <v>74</v>
      </c>
      <c r="L772" t="s">
        <v>74</v>
      </c>
      <c r="M772" t="s">
        <v>78</v>
      </c>
      <c r="N772" t="s">
        <v>79</v>
      </c>
      <c r="O772" t="s">
        <v>74</v>
      </c>
      <c r="P772" t="s">
        <v>74</v>
      </c>
      <c r="Q772" t="s">
        <v>74</v>
      </c>
      <c r="R772" t="s">
        <v>74</v>
      </c>
      <c r="S772" t="s">
        <v>74</v>
      </c>
      <c r="T772" t="s">
        <v>74</v>
      </c>
      <c r="U772" t="s">
        <v>12195</v>
      </c>
      <c r="V772" t="s">
        <v>12196</v>
      </c>
      <c r="W772" t="s">
        <v>12197</v>
      </c>
      <c r="X772" t="s">
        <v>12198</v>
      </c>
      <c r="Y772" t="s">
        <v>12199</v>
      </c>
      <c r="Z772" t="s">
        <v>12200</v>
      </c>
      <c r="AA772" t="s">
        <v>12201</v>
      </c>
      <c r="AB772" t="s">
        <v>74</v>
      </c>
      <c r="AC772" t="s">
        <v>74</v>
      </c>
      <c r="AD772" t="s">
        <v>74</v>
      </c>
      <c r="AE772" t="s">
        <v>74</v>
      </c>
      <c r="AF772" t="s">
        <v>74</v>
      </c>
      <c r="AG772">
        <v>45</v>
      </c>
      <c r="AH772">
        <v>17</v>
      </c>
      <c r="AI772">
        <v>21</v>
      </c>
      <c r="AJ772">
        <v>0</v>
      </c>
      <c r="AK772">
        <v>20</v>
      </c>
      <c r="AL772" t="s">
        <v>12202</v>
      </c>
      <c r="AM772" t="s">
        <v>12203</v>
      </c>
      <c r="AN772" t="s">
        <v>12204</v>
      </c>
      <c r="AO772" t="s">
        <v>12205</v>
      </c>
      <c r="AP772" t="s">
        <v>74</v>
      </c>
      <c r="AQ772" t="s">
        <v>74</v>
      </c>
      <c r="AR772" t="s">
        <v>12206</v>
      </c>
      <c r="AS772" t="s">
        <v>12207</v>
      </c>
      <c r="AT772" t="s">
        <v>12165</v>
      </c>
      <c r="AU772">
        <v>2006</v>
      </c>
      <c r="AV772">
        <v>211</v>
      </c>
      <c r="AW772">
        <v>2</v>
      </c>
      <c r="AX772" t="s">
        <v>74</v>
      </c>
      <c r="AY772" t="s">
        <v>74</v>
      </c>
      <c r="AZ772" t="s">
        <v>74</v>
      </c>
      <c r="BA772" t="s">
        <v>74</v>
      </c>
      <c r="BB772">
        <v>140</v>
      </c>
      <c r="BC772">
        <v>148</v>
      </c>
      <c r="BD772" t="s">
        <v>74</v>
      </c>
      <c r="BE772" t="s">
        <v>12208</v>
      </c>
      <c r="BF772" t="str">
        <f>HYPERLINK("http://dx.doi.org/10.2307/4134588","http://dx.doi.org/10.2307/4134588")</f>
        <v>http://dx.doi.org/10.2307/4134588</v>
      </c>
      <c r="BG772" t="s">
        <v>74</v>
      </c>
      <c r="BH772" t="s">
        <v>74</v>
      </c>
      <c r="BI772">
        <v>9</v>
      </c>
      <c r="BJ772" t="s">
        <v>12209</v>
      </c>
      <c r="BK772" t="s">
        <v>97</v>
      </c>
      <c r="BL772" t="s">
        <v>12210</v>
      </c>
      <c r="BM772" t="s">
        <v>12211</v>
      </c>
      <c r="BN772">
        <v>17062873</v>
      </c>
      <c r="BO772" t="s">
        <v>74</v>
      </c>
      <c r="BP772" t="s">
        <v>74</v>
      </c>
      <c r="BQ772" t="s">
        <v>74</v>
      </c>
      <c r="BR772" t="s">
        <v>100</v>
      </c>
      <c r="BS772" t="s">
        <v>12212</v>
      </c>
      <c r="BT772" t="str">
        <f>HYPERLINK("https%3A%2F%2Fwww.webofscience.com%2Fwos%2Fwoscc%2Ffull-record%2FWOS:000241793700005","View Full Record in Web of Science")</f>
        <v>View Full Record in Web of Science</v>
      </c>
    </row>
    <row r="773" spans="1:72" x14ac:dyDescent="0.15">
      <c r="A773" t="s">
        <v>72</v>
      </c>
      <c r="B773" t="s">
        <v>12213</v>
      </c>
      <c r="C773" t="s">
        <v>74</v>
      </c>
      <c r="D773" t="s">
        <v>74</v>
      </c>
      <c r="E773" t="s">
        <v>74</v>
      </c>
      <c r="F773" t="s">
        <v>12214</v>
      </c>
      <c r="G773" t="s">
        <v>74</v>
      </c>
      <c r="H773" t="s">
        <v>74</v>
      </c>
      <c r="I773" t="s">
        <v>12215</v>
      </c>
      <c r="J773" t="s">
        <v>12216</v>
      </c>
      <c r="K773" t="s">
        <v>74</v>
      </c>
      <c r="L773" t="s">
        <v>74</v>
      </c>
      <c r="M773" t="s">
        <v>78</v>
      </c>
      <c r="N773" t="s">
        <v>79</v>
      </c>
      <c r="O773" t="s">
        <v>74</v>
      </c>
      <c r="P773" t="s">
        <v>74</v>
      </c>
      <c r="Q773" t="s">
        <v>74</v>
      </c>
      <c r="R773" t="s">
        <v>74</v>
      </c>
      <c r="S773" t="s">
        <v>74</v>
      </c>
      <c r="T773" t="s">
        <v>12217</v>
      </c>
      <c r="U773" t="s">
        <v>12218</v>
      </c>
      <c r="V773" t="s">
        <v>12219</v>
      </c>
      <c r="W773" t="s">
        <v>12220</v>
      </c>
      <c r="X773" t="s">
        <v>776</v>
      </c>
      <c r="Y773" t="s">
        <v>2290</v>
      </c>
      <c r="Z773" t="s">
        <v>2291</v>
      </c>
      <c r="AA773" t="s">
        <v>74</v>
      </c>
      <c r="AB773" t="s">
        <v>74</v>
      </c>
      <c r="AC773" t="s">
        <v>74</v>
      </c>
      <c r="AD773" t="s">
        <v>74</v>
      </c>
      <c r="AE773" t="s">
        <v>74</v>
      </c>
      <c r="AF773" t="s">
        <v>74</v>
      </c>
      <c r="AG773">
        <v>30</v>
      </c>
      <c r="AH773">
        <v>52</v>
      </c>
      <c r="AI773">
        <v>57</v>
      </c>
      <c r="AJ773">
        <v>0</v>
      </c>
      <c r="AK773">
        <v>14</v>
      </c>
      <c r="AL773" t="s">
        <v>3389</v>
      </c>
      <c r="AM773" t="s">
        <v>818</v>
      </c>
      <c r="AN773" t="s">
        <v>3390</v>
      </c>
      <c r="AO773" t="s">
        <v>12221</v>
      </c>
      <c r="AP773" t="s">
        <v>74</v>
      </c>
      <c r="AQ773" t="s">
        <v>74</v>
      </c>
      <c r="AR773" t="s">
        <v>12222</v>
      </c>
      <c r="AS773" t="s">
        <v>12223</v>
      </c>
      <c r="AT773" t="s">
        <v>12165</v>
      </c>
      <c r="AU773">
        <v>2006</v>
      </c>
      <c r="AV773">
        <v>132</v>
      </c>
      <c r="AW773">
        <v>4</v>
      </c>
      <c r="AX773" t="s">
        <v>74</v>
      </c>
      <c r="AY773" t="s">
        <v>74</v>
      </c>
      <c r="AZ773" t="s">
        <v>74</v>
      </c>
      <c r="BA773" t="s">
        <v>74</v>
      </c>
      <c r="BB773">
        <v>458</v>
      </c>
      <c r="BC773">
        <v>471</v>
      </c>
      <c r="BD773" t="s">
        <v>74</v>
      </c>
      <c r="BE773" t="s">
        <v>12224</v>
      </c>
      <c r="BF773" t="str">
        <f>HYPERLINK("http://dx.doi.org/10.1016/j.biocon.2006.05.003","http://dx.doi.org/10.1016/j.biocon.2006.05.003")</f>
        <v>http://dx.doi.org/10.1016/j.biocon.2006.05.003</v>
      </c>
      <c r="BG773" t="s">
        <v>74</v>
      </c>
      <c r="BH773" t="s">
        <v>74</v>
      </c>
      <c r="BI773">
        <v>14</v>
      </c>
      <c r="BJ773" t="s">
        <v>8469</v>
      </c>
      <c r="BK773" t="s">
        <v>97</v>
      </c>
      <c r="BL773" t="s">
        <v>5603</v>
      </c>
      <c r="BM773" t="s">
        <v>12225</v>
      </c>
      <c r="BN773" t="s">
        <v>74</v>
      </c>
      <c r="BO773" t="s">
        <v>74</v>
      </c>
      <c r="BP773" t="s">
        <v>74</v>
      </c>
      <c r="BQ773" t="s">
        <v>74</v>
      </c>
      <c r="BR773" t="s">
        <v>100</v>
      </c>
      <c r="BS773" t="s">
        <v>12226</v>
      </c>
      <c r="BT773" t="str">
        <f>HYPERLINK("https%3A%2F%2Fwww.webofscience.com%2Fwos%2Fwoscc%2Ffull-record%2FWOS:000241348900005","View Full Record in Web of Science")</f>
        <v>View Full Record in Web of Science</v>
      </c>
    </row>
    <row r="774" spans="1:72" x14ac:dyDescent="0.15">
      <c r="A774" t="s">
        <v>72</v>
      </c>
      <c r="B774" t="s">
        <v>12227</v>
      </c>
      <c r="C774" t="s">
        <v>74</v>
      </c>
      <c r="D774" t="s">
        <v>74</v>
      </c>
      <c r="E774" t="s">
        <v>74</v>
      </c>
      <c r="F774" t="s">
        <v>12228</v>
      </c>
      <c r="G774" t="s">
        <v>74</v>
      </c>
      <c r="H774" t="s">
        <v>74</v>
      </c>
      <c r="I774" t="s">
        <v>12229</v>
      </c>
      <c r="J774" t="s">
        <v>12230</v>
      </c>
      <c r="K774" t="s">
        <v>74</v>
      </c>
      <c r="L774" t="s">
        <v>74</v>
      </c>
      <c r="M774" t="s">
        <v>78</v>
      </c>
      <c r="N774" t="s">
        <v>79</v>
      </c>
      <c r="O774" t="s">
        <v>74</v>
      </c>
      <c r="P774" t="s">
        <v>74</v>
      </c>
      <c r="Q774" t="s">
        <v>74</v>
      </c>
      <c r="R774" t="s">
        <v>74</v>
      </c>
      <c r="S774" t="s">
        <v>74</v>
      </c>
      <c r="T774" t="s">
        <v>74</v>
      </c>
      <c r="U774" t="s">
        <v>12231</v>
      </c>
      <c r="V774" t="s">
        <v>12232</v>
      </c>
      <c r="W774" t="s">
        <v>12233</v>
      </c>
      <c r="X774" t="s">
        <v>2233</v>
      </c>
      <c r="Y774" t="s">
        <v>12234</v>
      </c>
      <c r="Z774" t="s">
        <v>12235</v>
      </c>
      <c r="AA774" t="s">
        <v>12236</v>
      </c>
      <c r="AB774" t="s">
        <v>12237</v>
      </c>
      <c r="AC774" t="s">
        <v>74</v>
      </c>
      <c r="AD774" t="s">
        <v>74</v>
      </c>
      <c r="AE774" t="s">
        <v>74</v>
      </c>
      <c r="AF774" t="s">
        <v>74</v>
      </c>
      <c r="AG774">
        <v>39</v>
      </c>
      <c r="AH774">
        <v>13</v>
      </c>
      <c r="AI774">
        <v>14</v>
      </c>
      <c r="AJ774">
        <v>0</v>
      </c>
      <c r="AK774">
        <v>7</v>
      </c>
      <c r="AL774" t="s">
        <v>8387</v>
      </c>
      <c r="AM774" t="s">
        <v>726</v>
      </c>
      <c r="AN774" t="s">
        <v>8388</v>
      </c>
      <c r="AO774" t="s">
        <v>12238</v>
      </c>
      <c r="AP774" t="s">
        <v>12239</v>
      </c>
      <c r="AQ774" t="s">
        <v>74</v>
      </c>
      <c r="AR774" t="s">
        <v>12240</v>
      </c>
      <c r="AS774" t="s">
        <v>12241</v>
      </c>
      <c r="AT774" t="s">
        <v>12165</v>
      </c>
      <c r="AU774">
        <v>2006</v>
      </c>
      <c r="AV774">
        <v>63</v>
      </c>
      <c r="AW774">
        <v>10</v>
      </c>
      <c r="AX774" t="s">
        <v>74</v>
      </c>
      <c r="AY774" t="s">
        <v>74</v>
      </c>
      <c r="AZ774" t="s">
        <v>74</v>
      </c>
      <c r="BA774" t="s">
        <v>74</v>
      </c>
      <c r="BB774">
        <v>2259</v>
      </c>
      <c r="BC774">
        <v>2274</v>
      </c>
      <c r="BD774" t="s">
        <v>74</v>
      </c>
      <c r="BE774" t="s">
        <v>12242</v>
      </c>
      <c r="BF774" t="str">
        <f>HYPERLINK("http://dx.doi.org/10.1139/F06-109","http://dx.doi.org/10.1139/F06-109")</f>
        <v>http://dx.doi.org/10.1139/F06-109</v>
      </c>
      <c r="BG774" t="s">
        <v>74</v>
      </c>
      <c r="BH774" t="s">
        <v>74</v>
      </c>
      <c r="BI774">
        <v>16</v>
      </c>
      <c r="BJ774" t="s">
        <v>7796</v>
      </c>
      <c r="BK774" t="s">
        <v>97</v>
      </c>
      <c r="BL774" t="s">
        <v>7796</v>
      </c>
      <c r="BM774" t="s">
        <v>12243</v>
      </c>
      <c r="BN774" t="s">
        <v>74</v>
      </c>
      <c r="BO774" t="s">
        <v>74</v>
      </c>
      <c r="BP774" t="s">
        <v>74</v>
      </c>
      <c r="BQ774" t="s">
        <v>74</v>
      </c>
      <c r="BR774" t="s">
        <v>100</v>
      </c>
      <c r="BS774" t="s">
        <v>12244</v>
      </c>
      <c r="BT774" t="str">
        <f>HYPERLINK("https%3A%2F%2Fwww.webofscience.com%2Fwos%2Fwoscc%2Ffull-record%2FWOS:000241585400012","View Full Record in Web of Science")</f>
        <v>View Full Record in Web of Science</v>
      </c>
    </row>
    <row r="775" spans="1:72" x14ac:dyDescent="0.15">
      <c r="A775" t="s">
        <v>72</v>
      </c>
      <c r="B775" t="s">
        <v>12245</v>
      </c>
      <c r="C775" t="s">
        <v>74</v>
      </c>
      <c r="D775" t="s">
        <v>74</v>
      </c>
      <c r="E775" t="s">
        <v>74</v>
      </c>
      <c r="F775" t="s">
        <v>12246</v>
      </c>
      <c r="G775" t="s">
        <v>74</v>
      </c>
      <c r="H775" t="s">
        <v>74</v>
      </c>
      <c r="I775" t="s">
        <v>12247</v>
      </c>
      <c r="J775" t="s">
        <v>807</v>
      </c>
      <c r="K775" t="s">
        <v>74</v>
      </c>
      <c r="L775" t="s">
        <v>74</v>
      </c>
      <c r="M775" t="s">
        <v>78</v>
      </c>
      <c r="N775" t="s">
        <v>79</v>
      </c>
      <c r="O775" t="s">
        <v>74</v>
      </c>
      <c r="P775" t="s">
        <v>74</v>
      </c>
      <c r="Q775" t="s">
        <v>74</v>
      </c>
      <c r="R775" t="s">
        <v>74</v>
      </c>
      <c r="S775" t="s">
        <v>74</v>
      </c>
      <c r="T775" t="s">
        <v>12248</v>
      </c>
      <c r="U775" t="s">
        <v>12249</v>
      </c>
      <c r="V775" t="s">
        <v>12250</v>
      </c>
      <c r="W775" t="s">
        <v>12251</v>
      </c>
      <c r="X775" t="s">
        <v>776</v>
      </c>
      <c r="Y775" t="s">
        <v>12252</v>
      </c>
      <c r="Z775" t="s">
        <v>12253</v>
      </c>
      <c r="AA775" t="s">
        <v>9149</v>
      </c>
      <c r="AB775" t="s">
        <v>12254</v>
      </c>
      <c r="AC775" t="s">
        <v>74</v>
      </c>
      <c r="AD775" t="s">
        <v>74</v>
      </c>
      <c r="AE775" t="s">
        <v>74</v>
      </c>
      <c r="AF775" t="s">
        <v>74</v>
      </c>
      <c r="AG775">
        <v>47</v>
      </c>
      <c r="AH775">
        <v>50</v>
      </c>
      <c r="AI775">
        <v>53</v>
      </c>
      <c r="AJ775">
        <v>0</v>
      </c>
      <c r="AK775">
        <v>17</v>
      </c>
      <c r="AL775" t="s">
        <v>817</v>
      </c>
      <c r="AM775" t="s">
        <v>818</v>
      </c>
      <c r="AN775" t="s">
        <v>819</v>
      </c>
      <c r="AO775" t="s">
        <v>820</v>
      </c>
      <c r="AP775" t="s">
        <v>821</v>
      </c>
      <c r="AQ775" t="s">
        <v>74</v>
      </c>
      <c r="AR775" t="s">
        <v>807</v>
      </c>
      <c r="AS775" t="s">
        <v>822</v>
      </c>
      <c r="AT775" t="s">
        <v>12165</v>
      </c>
      <c r="AU775">
        <v>2006</v>
      </c>
      <c r="AV775">
        <v>65</v>
      </c>
      <c r="AW775">
        <v>2</v>
      </c>
      <c r="AX775" t="s">
        <v>74</v>
      </c>
      <c r="AY775" t="s">
        <v>74</v>
      </c>
      <c r="AZ775" t="s">
        <v>74</v>
      </c>
      <c r="BA775" t="s">
        <v>74</v>
      </c>
      <c r="BB775">
        <v>294</v>
      </c>
      <c r="BC775">
        <v>309</v>
      </c>
      <c r="BD775" t="s">
        <v>74</v>
      </c>
      <c r="BE775" t="s">
        <v>12255</v>
      </c>
      <c r="BF775" t="str">
        <f>HYPERLINK("http://dx.doi.org/10.1016/j.chemosphere.2006.02.062","http://dx.doi.org/10.1016/j.chemosphere.2006.02.062")</f>
        <v>http://dx.doi.org/10.1016/j.chemosphere.2006.02.062</v>
      </c>
      <c r="BG775" t="s">
        <v>74</v>
      </c>
      <c r="BH775" t="s">
        <v>74</v>
      </c>
      <c r="BI775">
        <v>16</v>
      </c>
      <c r="BJ775" t="s">
        <v>237</v>
      </c>
      <c r="BK775" t="s">
        <v>97</v>
      </c>
      <c r="BL775" t="s">
        <v>226</v>
      </c>
      <c r="BM775" t="s">
        <v>12256</v>
      </c>
      <c r="BN775">
        <v>16650458</v>
      </c>
      <c r="BO775" t="s">
        <v>74</v>
      </c>
      <c r="BP775" t="s">
        <v>74</v>
      </c>
      <c r="BQ775" t="s">
        <v>74</v>
      </c>
      <c r="BR775" t="s">
        <v>100</v>
      </c>
      <c r="BS775" t="s">
        <v>12257</v>
      </c>
      <c r="BT775" t="str">
        <f>HYPERLINK("https%3A%2F%2Fwww.webofscience.com%2Fwos%2Fwoscc%2Ffull-record%2FWOS:000241135600014","View Full Record in Web of Science")</f>
        <v>View Full Record in Web of Science</v>
      </c>
    </row>
    <row r="776" spans="1:72" x14ac:dyDescent="0.15">
      <c r="A776" t="s">
        <v>72</v>
      </c>
      <c r="B776" t="s">
        <v>12258</v>
      </c>
      <c r="C776" t="s">
        <v>74</v>
      </c>
      <c r="D776" t="s">
        <v>74</v>
      </c>
      <c r="E776" t="s">
        <v>74</v>
      </c>
      <c r="F776" t="s">
        <v>12259</v>
      </c>
      <c r="G776" t="s">
        <v>74</v>
      </c>
      <c r="H776" t="s">
        <v>74</v>
      </c>
      <c r="I776" t="s">
        <v>12260</v>
      </c>
      <c r="J776" t="s">
        <v>807</v>
      </c>
      <c r="K776" t="s">
        <v>74</v>
      </c>
      <c r="L776" t="s">
        <v>74</v>
      </c>
      <c r="M776" t="s">
        <v>78</v>
      </c>
      <c r="N776" t="s">
        <v>79</v>
      </c>
      <c r="O776" t="s">
        <v>74</v>
      </c>
      <c r="P776" t="s">
        <v>74</v>
      </c>
      <c r="Q776" t="s">
        <v>74</v>
      </c>
      <c r="R776" t="s">
        <v>74</v>
      </c>
      <c r="S776" t="s">
        <v>74</v>
      </c>
      <c r="T776" t="s">
        <v>12261</v>
      </c>
      <c r="U776" t="s">
        <v>12262</v>
      </c>
      <c r="V776" t="s">
        <v>12263</v>
      </c>
      <c r="W776" t="s">
        <v>12264</v>
      </c>
      <c r="X776" t="s">
        <v>12265</v>
      </c>
      <c r="Y776" t="s">
        <v>12266</v>
      </c>
      <c r="Z776" t="s">
        <v>12267</v>
      </c>
      <c r="AA776" t="s">
        <v>74</v>
      </c>
      <c r="AB776" t="s">
        <v>12268</v>
      </c>
      <c r="AC776" t="s">
        <v>74</v>
      </c>
      <c r="AD776" t="s">
        <v>74</v>
      </c>
      <c r="AE776" t="s">
        <v>74</v>
      </c>
      <c r="AF776" t="s">
        <v>74</v>
      </c>
      <c r="AG776">
        <v>36</v>
      </c>
      <c r="AH776">
        <v>26</v>
      </c>
      <c r="AI776">
        <v>28</v>
      </c>
      <c r="AJ776">
        <v>1</v>
      </c>
      <c r="AK776">
        <v>38</v>
      </c>
      <c r="AL776" t="s">
        <v>817</v>
      </c>
      <c r="AM776" t="s">
        <v>818</v>
      </c>
      <c r="AN776" t="s">
        <v>819</v>
      </c>
      <c r="AO776" t="s">
        <v>820</v>
      </c>
      <c r="AP776" t="s">
        <v>821</v>
      </c>
      <c r="AQ776" t="s">
        <v>74</v>
      </c>
      <c r="AR776" t="s">
        <v>807</v>
      </c>
      <c r="AS776" t="s">
        <v>822</v>
      </c>
      <c r="AT776" t="s">
        <v>12165</v>
      </c>
      <c r="AU776">
        <v>2006</v>
      </c>
      <c r="AV776">
        <v>65</v>
      </c>
      <c r="AW776">
        <v>5</v>
      </c>
      <c r="AX776" t="s">
        <v>74</v>
      </c>
      <c r="AY776" t="s">
        <v>74</v>
      </c>
      <c r="AZ776" t="s">
        <v>74</v>
      </c>
      <c r="BA776" t="s">
        <v>74</v>
      </c>
      <c r="BB776">
        <v>811</v>
      </c>
      <c r="BC776">
        <v>820</v>
      </c>
      <c r="BD776" t="s">
        <v>74</v>
      </c>
      <c r="BE776" t="s">
        <v>12269</v>
      </c>
      <c r="BF776" t="str">
        <f>HYPERLINK("http://dx.doi.org/10.1016/j.chemosphere.2006.03.028","http://dx.doi.org/10.1016/j.chemosphere.2006.03.028")</f>
        <v>http://dx.doi.org/10.1016/j.chemosphere.2006.03.028</v>
      </c>
      <c r="BG776" t="s">
        <v>74</v>
      </c>
      <c r="BH776" t="s">
        <v>74</v>
      </c>
      <c r="BI776">
        <v>10</v>
      </c>
      <c r="BJ776" t="s">
        <v>237</v>
      </c>
      <c r="BK776" t="s">
        <v>97</v>
      </c>
      <c r="BL776" t="s">
        <v>226</v>
      </c>
      <c r="BM776" t="s">
        <v>12270</v>
      </c>
      <c r="BN776">
        <v>16709425</v>
      </c>
      <c r="BO776" t="s">
        <v>74</v>
      </c>
      <c r="BP776" t="s">
        <v>74</v>
      </c>
      <c r="BQ776" t="s">
        <v>74</v>
      </c>
      <c r="BR776" t="s">
        <v>100</v>
      </c>
      <c r="BS776" t="s">
        <v>12271</v>
      </c>
      <c r="BT776" t="str">
        <f>HYPERLINK("https%3A%2F%2Fwww.webofscience.com%2Fwos%2Fwoscc%2Ffull-record%2FWOS:000242330200008","View Full Record in Web of Science")</f>
        <v>View Full Record in Web of Science</v>
      </c>
    </row>
    <row r="777" spans="1:72" x14ac:dyDescent="0.15">
      <c r="A777" t="s">
        <v>72</v>
      </c>
      <c r="B777" t="s">
        <v>12272</v>
      </c>
      <c r="C777" t="s">
        <v>74</v>
      </c>
      <c r="D777" t="s">
        <v>74</v>
      </c>
      <c r="E777" t="s">
        <v>74</v>
      </c>
      <c r="F777" t="s">
        <v>12273</v>
      </c>
      <c r="G777" t="s">
        <v>74</v>
      </c>
      <c r="H777" t="s">
        <v>74</v>
      </c>
      <c r="I777" t="s">
        <v>12274</v>
      </c>
      <c r="J777" t="s">
        <v>12275</v>
      </c>
      <c r="K777" t="s">
        <v>74</v>
      </c>
      <c r="L777" t="s">
        <v>74</v>
      </c>
      <c r="M777" t="s">
        <v>78</v>
      </c>
      <c r="N777" t="s">
        <v>79</v>
      </c>
      <c r="O777" t="s">
        <v>74</v>
      </c>
      <c r="P777" t="s">
        <v>74</v>
      </c>
      <c r="Q777" t="s">
        <v>74</v>
      </c>
      <c r="R777" t="s">
        <v>74</v>
      </c>
      <c r="S777" t="s">
        <v>74</v>
      </c>
      <c r="T777" t="s">
        <v>12276</v>
      </c>
      <c r="U777" t="s">
        <v>12277</v>
      </c>
      <c r="V777" t="s">
        <v>12278</v>
      </c>
      <c r="W777" t="s">
        <v>12279</v>
      </c>
      <c r="X777" t="s">
        <v>12280</v>
      </c>
      <c r="Y777" t="s">
        <v>12281</v>
      </c>
      <c r="Z777" t="s">
        <v>12282</v>
      </c>
      <c r="AA777" t="s">
        <v>12283</v>
      </c>
      <c r="AB777" t="s">
        <v>12284</v>
      </c>
      <c r="AC777" t="s">
        <v>74</v>
      </c>
      <c r="AD777" t="s">
        <v>74</v>
      </c>
      <c r="AE777" t="s">
        <v>74</v>
      </c>
      <c r="AF777" t="s">
        <v>74</v>
      </c>
      <c r="AG777">
        <v>39</v>
      </c>
      <c r="AH777">
        <v>8</v>
      </c>
      <c r="AI777">
        <v>9</v>
      </c>
      <c r="AJ777">
        <v>2</v>
      </c>
      <c r="AK777">
        <v>6</v>
      </c>
      <c r="AL777" t="s">
        <v>838</v>
      </c>
      <c r="AM777" t="s">
        <v>678</v>
      </c>
      <c r="AN777" t="s">
        <v>839</v>
      </c>
      <c r="AO777" t="s">
        <v>12285</v>
      </c>
      <c r="AP777" t="s">
        <v>74</v>
      </c>
      <c r="AQ777" t="s">
        <v>74</v>
      </c>
      <c r="AR777" t="s">
        <v>12286</v>
      </c>
      <c r="AS777" t="s">
        <v>12287</v>
      </c>
      <c r="AT777" t="s">
        <v>12165</v>
      </c>
      <c r="AU777">
        <v>2006</v>
      </c>
      <c r="AV777">
        <v>145</v>
      </c>
      <c r="AW777">
        <v>2</v>
      </c>
      <c r="AX777" t="s">
        <v>74</v>
      </c>
      <c r="AY777" t="s">
        <v>74</v>
      </c>
      <c r="AZ777" t="s">
        <v>74</v>
      </c>
      <c r="BA777" t="s">
        <v>74</v>
      </c>
      <c r="BB777">
        <v>188</v>
      </c>
      <c r="BC777">
        <v>196</v>
      </c>
      <c r="BD777" t="s">
        <v>74</v>
      </c>
      <c r="BE777" t="s">
        <v>12288</v>
      </c>
      <c r="BF777" t="str">
        <f>HYPERLINK("http://dx.doi.org/10.1016/j.cbpb.2006.07.005","http://dx.doi.org/10.1016/j.cbpb.2006.07.005")</f>
        <v>http://dx.doi.org/10.1016/j.cbpb.2006.07.005</v>
      </c>
      <c r="BG777" t="s">
        <v>74</v>
      </c>
      <c r="BH777" t="s">
        <v>74</v>
      </c>
      <c r="BI777">
        <v>9</v>
      </c>
      <c r="BJ777" t="s">
        <v>12289</v>
      </c>
      <c r="BK777" t="s">
        <v>97</v>
      </c>
      <c r="BL777" t="s">
        <v>12289</v>
      </c>
      <c r="BM777" t="s">
        <v>12290</v>
      </c>
      <c r="BN777">
        <v>16931084</v>
      </c>
      <c r="BO777" t="s">
        <v>74</v>
      </c>
      <c r="BP777" t="s">
        <v>74</v>
      </c>
      <c r="BQ777" t="s">
        <v>74</v>
      </c>
      <c r="BR777" t="s">
        <v>100</v>
      </c>
      <c r="BS777" t="s">
        <v>12291</v>
      </c>
      <c r="BT777" t="str">
        <f>HYPERLINK("https%3A%2F%2Fwww.webofscience.com%2Fwos%2Fwoscc%2Ffull-record%2FWOS:000241296900008","View Full Record in Web of Science")</f>
        <v>View Full Record in Web of Science</v>
      </c>
    </row>
    <row r="778" spans="1:72" x14ac:dyDescent="0.15">
      <c r="A778" t="s">
        <v>72</v>
      </c>
      <c r="B778" t="s">
        <v>12292</v>
      </c>
      <c r="C778" t="s">
        <v>74</v>
      </c>
      <c r="D778" t="s">
        <v>74</v>
      </c>
      <c r="E778" t="s">
        <v>74</v>
      </c>
      <c r="F778" t="s">
        <v>12293</v>
      </c>
      <c r="G778" t="s">
        <v>74</v>
      </c>
      <c r="H778" t="s">
        <v>74</v>
      </c>
      <c r="I778" t="s">
        <v>12294</v>
      </c>
      <c r="J778" t="s">
        <v>12295</v>
      </c>
      <c r="K778" t="s">
        <v>74</v>
      </c>
      <c r="L778" t="s">
        <v>74</v>
      </c>
      <c r="M778" t="s">
        <v>78</v>
      </c>
      <c r="N778" t="s">
        <v>79</v>
      </c>
      <c r="O778" t="s">
        <v>74</v>
      </c>
      <c r="P778" t="s">
        <v>74</v>
      </c>
      <c r="Q778" t="s">
        <v>74</v>
      </c>
      <c r="R778" t="s">
        <v>74</v>
      </c>
      <c r="S778" t="s">
        <v>74</v>
      </c>
      <c r="T778" t="s">
        <v>12296</v>
      </c>
      <c r="U778" t="s">
        <v>12297</v>
      </c>
      <c r="V778" t="s">
        <v>12298</v>
      </c>
      <c r="W778" t="s">
        <v>12299</v>
      </c>
      <c r="X778" t="s">
        <v>12300</v>
      </c>
      <c r="Y778" t="s">
        <v>12301</v>
      </c>
      <c r="Z778" t="s">
        <v>12302</v>
      </c>
      <c r="AA778" t="s">
        <v>12303</v>
      </c>
      <c r="AB778" t="s">
        <v>74</v>
      </c>
      <c r="AC778" t="s">
        <v>74</v>
      </c>
      <c r="AD778" t="s">
        <v>74</v>
      </c>
      <c r="AE778" t="s">
        <v>74</v>
      </c>
      <c r="AF778" t="s">
        <v>74</v>
      </c>
      <c r="AG778">
        <v>36</v>
      </c>
      <c r="AH778">
        <v>5</v>
      </c>
      <c r="AI778">
        <v>5</v>
      </c>
      <c r="AJ778">
        <v>0</v>
      </c>
      <c r="AK778">
        <v>9</v>
      </c>
      <c r="AL778" t="s">
        <v>838</v>
      </c>
      <c r="AM778" t="s">
        <v>678</v>
      </c>
      <c r="AN778" t="s">
        <v>839</v>
      </c>
      <c r="AO778" t="s">
        <v>12304</v>
      </c>
      <c r="AP778" t="s">
        <v>74</v>
      </c>
      <c r="AQ778" t="s">
        <v>74</v>
      </c>
      <c r="AR778" t="s">
        <v>12305</v>
      </c>
      <c r="AS778" t="s">
        <v>12306</v>
      </c>
      <c r="AT778" t="s">
        <v>12165</v>
      </c>
      <c r="AU778">
        <v>2006</v>
      </c>
      <c r="AV778">
        <v>144</v>
      </c>
      <c r="AW778">
        <v>2</v>
      </c>
      <c r="AX778" t="s">
        <v>74</v>
      </c>
      <c r="AY778" t="s">
        <v>74</v>
      </c>
      <c r="AZ778" t="s">
        <v>74</v>
      </c>
      <c r="BA778" t="s">
        <v>74</v>
      </c>
      <c r="BB778">
        <v>148</v>
      </c>
      <c r="BC778">
        <v>154</v>
      </c>
      <c r="BD778" t="s">
        <v>74</v>
      </c>
      <c r="BE778" t="s">
        <v>12307</v>
      </c>
      <c r="BF778" t="str">
        <f>HYPERLINK("http://dx.doi.org/10.1016/j.cbpc.2006.07.010","http://dx.doi.org/10.1016/j.cbpc.2006.07.010")</f>
        <v>http://dx.doi.org/10.1016/j.cbpc.2006.07.010</v>
      </c>
      <c r="BG778" t="s">
        <v>74</v>
      </c>
      <c r="BH778" t="s">
        <v>74</v>
      </c>
      <c r="BI778">
        <v>7</v>
      </c>
      <c r="BJ778" t="s">
        <v>12308</v>
      </c>
      <c r="BK778" t="s">
        <v>97</v>
      </c>
      <c r="BL778" t="s">
        <v>12308</v>
      </c>
      <c r="BM778" t="s">
        <v>12309</v>
      </c>
      <c r="BN778">
        <v>16949883</v>
      </c>
      <c r="BO778" t="s">
        <v>74</v>
      </c>
      <c r="BP778" t="s">
        <v>74</v>
      </c>
      <c r="BQ778" t="s">
        <v>74</v>
      </c>
      <c r="BR778" t="s">
        <v>100</v>
      </c>
      <c r="BS778" t="s">
        <v>12310</v>
      </c>
      <c r="BT778" t="str">
        <f>HYPERLINK("https%3A%2F%2Fwww.webofscience.com%2Fwos%2Fwoscc%2Ffull-record%2FWOS:000242518800005","View Full Record in Web of Science")</f>
        <v>View Full Record in Web of Science</v>
      </c>
    </row>
    <row r="779" spans="1:72" x14ac:dyDescent="0.15">
      <c r="A779" t="s">
        <v>72</v>
      </c>
      <c r="B779" t="s">
        <v>12311</v>
      </c>
      <c r="C779" t="s">
        <v>74</v>
      </c>
      <c r="D779" t="s">
        <v>74</v>
      </c>
      <c r="E779" t="s">
        <v>74</v>
      </c>
      <c r="F779" t="s">
        <v>12312</v>
      </c>
      <c r="G779" t="s">
        <v>74</v>
      </c>
      <c r="H779" t="s">
        <v>74</v>
      </c>
      <c r="I779" t="s">
        <v>12313</v>
      </c>
      <c r="J779" t="s">
        <v>8494</v>
      </c>
      <c r="K779" t="s">
        <v>74</v>
      </c>
      <c r="L779" t="s">
        <v>74</v>
      </c>
      <c r="M779" t="s">
        <v>78</v>
      </c>
      <c r="N779" t="s">
        <v>79</v>
      </c>
      <c r="O779" t="s">
        <v>74</v>
      </c>
      <c r="P779" t="s">
        <v>74</v>
      </c>
      <c r="Q779" t="s">
        <v>74</v>
      </c>
      <c r="R779" t="s">
        <v>74</v>
      </c>
      <c r="S779" t="s">
        <v>74</v>
      </c>
      <c r="T779" t="s">
        <v>12314</v>
      </c>
      <c r="U779" t="s">
        <v>12315</v>
      </c>
      <c r="V779" t="s">
        <v>12316</v>
      </c>
      <c r="W779" t="s">
        <v>12317</v>
      </c>
      <c r="X779" t="s">
        <v>12318</v>
      </c>
      <c r="Y779" t="s">
        <v>12319</v>
      </c>
      <c r="Z779" t="s">
        <v>12320</v>
      </c>
      <c r="AA779" t="s">
        <v>74</v>
      </c>
      <c r="AB779" t="s">
        <v>74</v>
      </c>
      <c r="AC779" t="s">
        <v>74</v>
      </c>
      <c r="AD779" t="s">
        <v>74</v>
      </c>
      <c r="AE779" t="s">
        <v>74</v>
      </c>
      <c r="AF779" t="s">
        <v>74</v>
      </c>
      <c r="AG779">
        <v>60</v>
      </c>
      <c r="AH779">
        <v>11</v>
      </c>
      <c r="AI779">
        <v>13</v>
      </c>
      <c r="AJ779">
        <v>0</v>
      </c>
      <c r="AK779">
        <v>1</v>
      </c>
      <c r="AL779" t="s">
        <v>3322</v>
      </c>
      <c r="AM779" t="s">
        <v>1197</v>
      </c>
      <c r="AN779" t="s">
        <v>3323</v>
      </c>
      <c r="AO779" t="s">
        <v>8502</v>
      </c>
      <c r="AP779" t="s">
        <v>12321</v>
      </c>
      <c r="AQ779" t="s">
        <v>74</v>
      </c>
      <c r="AR779" t="s">
        <v>8503</v>
      </c>
      <c r="AS779" t="s">
        <v>8504</v>
      </c>
      <c r="AT779" t="s">
        <v>12165</v>
      </c>
      <c r="AU779">
        <v>2006</v>
      </c>
      <c r="AV779">
        <v>27</v>
      </c>
      <c r="AW779">
        <v>5</v>
      </c>
      <c r="AX779" t="s">
        <v>74</v>
      </c>
      <c r="AY779" t="s">
        <v>74</v>
      </c>
      <c r="AZ779" t="s">
        <v>74</v>
      </c>
      <c r="BA779" t="s">
        <v>74</v>
      </c>
      <c r="BB779">
        <v>611</v>
      </c>
      <c r="BC779">
        <v>628</v>
      </c>
      <c r="BD779" t="s">
        <v>74</v>
      </c>
      <c r="BE779" t="s">
        <v>12322</v>
      </c>
      <c r="BF779" t="str">
        <f>HYPERLINK("http://dx.doi.org/10.1016/j.cretres.2005.09.002","http://dx.doi.org/10.1016/j.cretres.2005.09.002")</f>
        <v>http://dx.doi.org/10.1016/j.cretres.2005.09.002</v>
      </c>
      <c r="BG779" t="s">
        <v>74</v>
      </c>
      <c r="BH779" t="s">
        <v>74</v>
      </c>
      <c r="BI779">
        <v>18</v>
      </c>
      <c r="BJ779" t="s">
        <v>2713</v>
      </c>
      <c r="BK779" t="s">
        <v>97</v>
      </c>
      <c r="BL779" t="s">
        <v>2713</v>
      </c>
      <c r="BM779" t="s">
        <v>12323</v>
      </c>
      <c r="BN779" t="s">
        <v>74</v>
      </c>
      <c r="BO779" t="s">
        <v>74</v>
      </c>
      <c r="BP779" t="s">
        <v>74</v>
      </c>
      <c r="BQ779" t="s">
        <v>74</v>
      </c>
      <c r="BR779" t="s">
        <v>100</v>
      </c>
      <c r="BS779" t="s">
        <v>12324</v>
      </c>
      <c r="BT779" t="str">
        <f>HYPERLINK("https%3A%2F%2Fwww.webofscience.com%2Fwos%2Fwoscc%2Ffull-record%2FWOS:000241281700002","View Full Record in Web of Science")</f>
        <v>View Full Record in Web of Science</v>
      </c>
    </row>
    <row r="780" spans="1:72" x14ac:dyDescent="0.15">
      <c r="A780" t="s">
        <v>72</v>
      </c>
      <c r="B780" t="s">
        <v>12325</v>
      </c>
      <c r="C780" t="s">
        <v>74</v>
      </c>
      <c r="D780" t="s">
        <v>74</v>
      </c>
      <c r="E780" t="s">
        <v>74</v>
      </c>
      <c r="F780" t="s">
        <v>12326</v>
      </c>
      <c r="G780" t="s">
        <v>74</v>
      </c>
      <c r="H780" t="s">
        <v>74</v>
      </c>
      <c r="I780" t="s">
        <v>12327</v>
      </c>
      <c r="J780" t="s">
        <v>12328</v>
      </c>
      <c r="K780" t="s">
        <v>74</v>
      </c>
      <c r="L780" t="s">
        <v>74</v>
      </c>
      <c r="M780" t="s">
        <v>78</v>
      </c>
      <c r="N780" t="s">
        <v>79</v>
      </c>
      <c r="O780" t="s">
        <v>74</v>
      </c>
      <c r="P780" t="s">
        <v>74</v>
      </c>
      <c r="Q780" t="s">
        <v>74</v>
      </c>
      <c r="R780" t="s">
        <v>74</v>
      </c>
      <c r="S780" t="s">
        <v>74</v>
      </c>
      <c r="T780" t="s">
        <v>12329</v>
      </c>
      <c r="U780" t="s">
        <v>12330</v>
      </c>
      <c r="V780" t="s">
        <v>12331</v>
      </c>
      <c r="W780" t="s">
        <v>12332</v>
      </c>
      <c r="X780" t="s">
        <v>12333</v>
      </c>
      <c r="Y780" t="s">
        <v>12334</v>
      </c>
      <c r="Z780" t="s">
        <v>12335</v>
      </c>
      <c r="AA780" t="s">
        <v>12336</v>
      </c>
      <c r="AB780" t="s">
        <v>12337</v>
      </c>
      <c r="AC780" t="s">
        <v>74</v>
      </c>
      <c r="AD780" t="s">
        <v>74</v>
      </c>
      <c r="AE780" t="s">
        <v>74</v>
      </c>
      <c r="AF780" t="s">
        <v>74</v>
      </c>
      <c r="AG780">
        <v>48</v>
      </c>
      <c r="AH780">
        <v>207</v>
      </c>
      <c r="AI780">
        <v>242</v>
      </c>
      <c r="AJ780">
        <v>1</v>
      </c>
      <c r="AK780">
        <v>84</v>
      </c>
      <c r="AL780" t="s">
        <v>10638</v>
      </c>
      <c r="AM780" t="s">
        <v>6911</v>
      </c>
      <c r="AN780" t="s">
        <v>10639</v>
      </c>
      <c r="AO780" t="s">
        <v>12338</v>
      </c>
      <c r="AP780" t="s">
        <v>12339</v>
      </c>
      <c r="AQ780" t="s">
        <v>74</v>
      </c>
      <c r="AR780" t="s">
        <v>12328</v>
      </c>
      <c r="AS780" t="s">
        <v>12340</v>
      </c>
      <c r="AT780" t="s">
        <v>12165</v>
      </c>
      <c r="AU780">
        <v>2006</v>
      </c>
      <c r="AV780">
        <v>53</v>
      </c>
      <c r="AW780">
        <v>2</v>
      </c>
      <c r="AX780" t="s">
        <v>74</v>
      </c>
      <c r="AY780" t="s">
        <v>74</v>
      </c>
      <c r="AZ780" t="s">
        <v>74</v>
      </c>
      <c r="BA780" t="s">
        <v>74</v>
      </c>
      <c r="BB780">
        <v>229</v>
      </c>
      <c r="BC780">
        <v>239</v>
      </c>
      <c r="BD780" t="s">
        <v>74</v>
      </c>
      <c r="BE780" t="s">
        <v>12341</v>
      </c>
      <c r="BF780" t="str">
        <f>HYPERLINK("http://dx.doi.org/10.1016/j.cryobiol.2006.06.006","http://dx.doi.org/10.1016/j.cryobiol.2006.06.006")</f>
        <v>http://dx.doi.org/10.1016/j.cryobiol.2006.06.006</v>
      </c>
      <c r="BG780" t="s">
        <v>74</v>
      </c>
      <c r="BH780" t="s">
        <v>74</v>
      </c>
      <c r="BI780">
        <v>11</v>
      </c>
      <c r="BJ780" t="s">
        <v>1202</v>
      </c>
      <c r="BK780" t="s">
        <v>97</v>
      </c>
      <c r="BL780" t="s">
        <v>1203</v>
      </c>
      <c r="BM780" t="s">
        <v>12342</v>
      </c>
      <c r="BN780">
        <v>16887111</v>
      </c>
      <c r="BO780" t="s">
        <v>74</v>
      </c>
      <c r="BP780" t="s">
        <v>74</v>
      </c>
      <c r="BQ780" t="s">
        <v>74</v>
      </c>
      <c r="BR780" t="s">
        <v>100</v>
      </c>
      <c r="BS780" t="s">
        <v>12343</v>
      </c>
      <c r="BT780" t="str">
        <f>HYPERLINK("https%3A%2F%2Fwww.webofscience.com%2Fwos%2Fwoscc%2Ffull-record%2FWOS:000241145300008","View Full Record in Web of Science")</f>
        <v>View Full Record in Web of Science</v>
      </c>
    </row>
    <row r="781" spans="1:72" x14ac:dyDescent="0.15">
      <c r="A781" t="s">
        <v>72</v>
      </c>
      <c r="B781" t="s">
        <v>12344</v>
      </c>
      <c r="C781" t="s">
        <v>74</v>
      </c>
      <c r="D781" t="s">
        <v>74</v>
      </c>
      <c r="E781" t="s">
        <v>74</v>
      </c>
      <c r="F781" t="s">
        <v>12345</v>
      </c>
      <c r="G781" t="s">
        <v>74</v>
      </c>
      <c r="H781" t="s">
        <v>74</v>
      </c>
      <c r="I781" t="s">
        <v>12346</v>
      </c>
      <c r="J781" t="s">
        <v>12347</v>
      </c>
      <c r="K781" t="s">
        <v>74</v>
      </c>
      <c r="L781" t="s">
        <v>74</v>
      </c>
      <c r="M781" t="s">
        <v>78</v>
      </c>
      <c r="N781" t="s">
        <v>79</v>
      </c>
      <c r="O781" t="s">
        <v>74</v>
      </c>
      <c r="P781" t="s">
        <v>74</v>
      </c>
      <c r="Q781" t="s">
        <v>74</v>
      </c>
      <c r="R781" t="s">
        <v>74</v>
      </c>
      <c r="S781" t="s">
        <v>74</v>
      </c>
      <c r="T781" t="s">
        <v>74</v>
      </c>
      <c r="U781" t="s">
        <v>12348</v>
      </c>
      <c r="V781" t="s">
        <v>12349</v>
      </c>
      <c r="W781" t="s">
        <v>12350</v>
      </c>
      <c r="X781" t="s">
        <v>10633</v>
      </c>
      <c r="Y781" t="s">
        <v>12351</v>
      </c>
      <c r="Z781" t="s">
        <v>10635</v>
      </c>
      <c r="AA781" t="s">
        <v>10636</v>
      </c>
      <c r="AB781" t="s">
        <v>10637</v>
      </c>
      <c r="AC781" t="s">
        <v>74</v>
      </c>
      <c r="AD781" t="s">
        <v>74</v>
      </c>
      <c r="AE781" t="s">
        <v>74</v>
      </c>
      <c r="AF781" t="s">
        <v>74</v>
      </c>
      <c r="AG781">
        <v>42</v>
      </c>
      <c r="AH781">
        <v>31</v>
      </c>
      <c r="AI781">
        <v>36</v>
      </c>
      <c r="AJ781">
        <v>2</v>
      </c>
      <c r="AK781">
        <v>29</v>
      </c>
      <c r="AL781" t="s">
        <v>159</v>
      </c>
      <c r="AM781" t="s">
        <v>160</v>
      </c>
      <c r="AN781" t="s">
        <v>161</v>
      </c>
      <c r="AO781" t="s">
        <v>12352</v>
      </c>
      <c r="AP781" t="s">
        <v>12353</v>
      </c>
      <c r="AQ781" t="s">
        <v>74</v>
      </c>
      <c r="AR781" t="s">
        <v>12347</v>
      </c>
      <c r="AS781" t="s">
        <v>12354</v>
      </c>
      <c r="AT781" t="s">
        <v>12165</v>
      </c>
      <c r="AU781">
        <v>2006</v>
      </c>
      <c r="AV781">
        <v>29</v>
      </c>
      <c r="AW781">
        <v>5</v>
      </c>
      <c r="AX781" t="s">
        <v>74</v>
      </c>
      <c r="AY781" t="s">
        <v>74</v>
      </c>
      <c r="AZ781" t="s">
        <v>74</v>
      </c>
      <c r="BA781" t="s">
        <v>74</v>
      </c>
      <c r="BB781">
        <v>766</v>
      </c>
      <c r="BC781">
        <v>772</v>
      </c>
      <c r="BD781" t="s">
        <v>74</v>
      </c>
      <c r="BE781" t="s">
        <v>74</v>
      </c>
      <c r="BF781" t="s">
        <v>74</v>
      </c>
      <c r="BG781" t="s">
        <v>74</v>
      </c>
      <c r="BH781" t="s">
        <v>74</v>
      </c>
      <c r="BI781">
        <v>7</v>
      </c>
      <c r="BJ781" t="s">
        <v>5602</v>
      </c>
      <c r="BK781" t="s">
        <v>97</v>
      </c>
      <c r="BL781" t="s">
        <v>5603</v>
      </c>
      <c r="BM781" t="s">
        <v>12355</v>
      </c>
      <c r="BN781" t="s">
        <v>74</v>
      </c>
      <c r="BO781" t="s">
        <v>74</v>
      </c>
      <c r="BP781" t="s">
        <v>74</v>
      </c>
      <c r="BQ781" t="s">
        <v>74</v>
      </c>
      <c r="BR781" t="s">
        <v>100</v>
      </c>
      <c r="BS781" t="s">
        <v>12356</v>
      </c>
      <c r="BT781" t="str">
        <f>HYPERLINK("https%3A%2F%2Fwww.webofscience.com%2Fwos%2Fwoscc%2Ffull-record%2FWOS:000241507100012","View Full Record in Web of Science")</f>
        <v>View Full Record in Web of Science</v>
      </c>
    </row>
    <row r="782" spans="1:72" x14ac:dyDescent="0.15">
      <c r="A782" t="s">
        <v>72</v>
      </c>
      <c r="B782" t="s">
        <v>12357</v>
      </c>
      <c r="C782" t="s">
        <v>74</v>
      </c>
      <c r="D782" t="s">
        <v>74</v>
      </c>
      <c r="E782" t="s">
        <v>74</v>
      </c>
      <c r="F782" t="s">
        <v>12358</v>
      </c>
      <c r="G782" t="s">
        <v>74</v>
      </c>
      <c r="H782" t="s">
        <v>74</v>
      </c>
      <c r="I782" t="s">
        <v>12359</v>
      </c>
      <c r="J782" t="s">
        <v>12360</v>
      </c>
      <c r="K782" t="s">
        <v>74</v>
      </c>
      <c r="L782" t="s">
        <v>74</v>
      </c>
      <c r="M782" t="s">
        <v>78</v>
      </c>
      <c r="N782" t="s">
        <v>79</v>
      </c>
      <c r="O782" t="s">
        <v>74</v>
      </c>
      <c r="P782" t="s">
        <v>74</v>
      </c>
      <c r="Q782" t="s">
        <v>74</v>
      </c>
      <c r="R782" t="s">
        <v>74</v>
      </c>
      <c r="S782" t="s">
        <v>74</v>
      </c>
      <c r="T782" t="s">
        <v>12361</v>
      </c>
      <c r="U782" t="s">
        <v>12362</v>
      </c>
      <c r="V782" t="s">
        <v>12363</v>
      </c>
      <c r="W782" t="s">
        <v>12364</v>
      </c>
      <c r="X782" t="s">
        <v>12122</v>
      </c>
      <c r="Y782" t="s">
        <v>12365</v>
      </c>
      <c r="Z782" t="s">
        <v>12366</v>
      </c>
      <c r="AA782" t="s">
        <v>11447</v>
      </c>
      <c r="AB782" t="s">
        <v>12123</v>
      </c>
      <c r="AC782" t="s">
        <v>74</v>
      </c>
      <c r="AD782" t="s">
        <v>74</v>
      </c>
      <c r="AE782" t="s">
        <v>74</v>
      </c>
      <c r="AF782" t="s">
        <v>74</v>
      </c>
      <c r="AG782">
        <v>49</v>
      </c>
      <c r="AH782">
        <v>29</v>
      </c>
      <c r="AI782">
        <v>31</v>
      </c>
      <c r="AJ782">
        <v>1</v>
      </c>
      <c r="AK782">
        <v>22</v>
      </c>
      <c r="AL782" t="s">
        <v>159</v>
      </c>
      <c r="AM782" t="s">
        <v>160</v>
      </c>
      <c r="AN782" t="s">
        <v>161</v>
      </c>
      <c r="AO782" t="s">
        <v>12367</v>
      </c>
      <c r="AP782" t="s">
        <v>12368</v>
      </c>
      <c r="AQ782" t="s">
        <v>74</v>
      </c>
      <c r="AR782" t="s">
        <v>12369</v>
      </c>
      <c r="AS782" t="s">
        <v>12370</v>
      </c>
      <c r="AT782" t="s">
        <v>12165</v>
      </c>
      <c r="AU782">
        <v>2006</v>
      </c>
      <c r="AV782">
        <v>31</v>
      </c>
      <c r="AW782">
        <v>5</v>
      </c>
      <c r="AX782" t="s">
        <v>74</v>
      </c>
      <c r="AY782" t="s">
        <v>74</v>
      </c>
      <c r="AZ782" t="s">
        <v>74</v>
      </c>
      <c r="BA782" t="s">
        <v>74</v>
      </c>
      <c r="BB782">
        <v>450</v>
      </c>
      <c r="BC782">
        <v>459</v>
      </c>
      <c r="BD782" t="s">
        <v>74</v>
      </c>
      <c r="BE782" t="s">
        <v>12371</v>
      </c>
      <c r="BF782" t="str">
        <f>HYPERLINK("http://dx.doi.org/10.1111/j.1365-2311.2006.00796.x","http://dx.doi.org/10.1111/j.1365-2311.2006.00796.x")</f>
        <v>http://dx.doi.org/10.1111/j.1365-2311.2006.00796.x</v>
      </c>
      <c r="BG782" t="s">
        <v>74</v>
      </c>
      <c r="BH782" t="s">
        <v>74</v>
      </c>
      <c r="BI782">
        <v>10</v>
      </c>
      <c r="BJ782" t="s">
        <v>12132</v>
      </c>
      <c r="BK782" t="s">
        <v>97</v>
      </c>
      <c r="BL782" t="s">
        <v>12132</v>
      </c>
      <c r="BM782" t="s">
        <v>12372</v>
      </c>
      <c r="BN782" t="s">
        <v>74</v>
      </c>
      <c r="BO782" t="s">
        <v>74</v>
      </c>
      <c r="BP782" t="s">
        <v>74</v>
      </c>
      <c r="BQ782" t="s">
        <v>74</v>
      </c>
      <c r="BR782" t="s">
        <v>100</v>
      </c>
      <c r="BS782" t="s">
        <v>12373</v>
      </c>
      <c r="BT782" t="str">
        <f>HYPERLINK("https%3A%2F%2Fwww.webofscience.com%2Fwos%2Fwoscc%2Ffull-record%2FWOS:000240402600007","View Full Record in Web of Science")</f>
        <v>View Full Record in Web of Science</v>
      </c>
    </row>
    <row r="783" spans="1:72" x14ac:dyDescent="0.15">
      <c r="A783" t="s">
        <v>72</v>
      </c>
      <c r="B783" t="s">
        <v>12374</v>
      </c>
      <c r="C783" t="s">
        <v>74</v>
      </c>
      <c r="D783" t="s">
        <v>74</v>
      </c>
      <c r="E783" t="s">
        <v>74</v>
      </c>
      <c r="F783" t="s">
        <v>12375</v>
      </c>
      <c r="G783" t="s">
        <v>74</v>
      </c>
      <c r="H783" t="s">
        <v>74</v>
      </c>
      <c r="I783" t="s">
        <v>12376</v>
      </c>
      <c r="J783" t="s">
        <v>12377</v>
      </c>
      <c r="K783" t="s">
        <v>74</v>
      </c>
      <c r="L783" t="s">
        <v>74</v>
      </c>
      <c r="M783" t="s">
        <v>78</v>
      </c>
      <c r="N783" t="s">
        <v>79</v>
      </c>
      <c r="O783" t="s">
        <v>74</v>
      </c>
      <c r="P783" t="s">
        <v>74</v>
      </c>
      <c r="Q783" t="s">
        <v>74</v>
      </c>
      <c r="R783" t="s">
        <v>74</v>
      </c>
      <c r="S783" t="s">
        <v>74</v>
      </c>
      <c r="T783" t="s">
        <v>12378</v>
      </c>
      <c r="U783" t="s">
        <v>12379</v>
      </c>
      <c r="V783" t="s">
        <v>12380</v>
      </c>
      <c r="W783" t="s">
        <v>12381</v>
      </c>
      <c r="X783" t="s">
        <v>2462</v>
      </c>
      <c r="Y783" t="s">
        <v>12382</v>
      </c>
      <c r="Z783" t="s">
        <v>12383</v>
      </c>
      <c r="AA783" t="s">
        <v>12384</v>
      </c>
      <c r="AB783" t="s">
        <v>12385</v>
      </c>
      <c r="AC783" t="s">
        <v>74</v>
      </c>
      <c r="AD783" t="s">
        <v>74</v>
      </c>
      <c r="AE783" t="s">
        <v>74</v>
      </c>
      <c r="AF783" t="s">
        <v>74</v>
      </c>
      <c r="AG783">
        <v>54</v>
      </c>
      <c r="AH783">
        <v>133</v>
      </c>
      <c r="AI783">
        <v>144</v>
      </c>
      <c r="AJ783">
        <v>3</v>
      </c>
      <c r="AK783">
        <v>64</v>
      </c>
      <c r="AL783" t="s">
        <v>3389</v>
      </c>
      <c r="AM783" t="s">
        <v>818</v>
      </c>
      <c r="AN783" t="s">
        <v>3390</v>
      </c>
      <c r="AO783" t="s">
        <v>12386</v>
      </c>
      <c r="AP783" t="s">
        <v>12387</v>
      </c>
      <c r="AQ783" t="s">
        <v>74</v>
      </c>
      <c r="AR783" t="s">
        <v>12388</v>
      </c>
      <c r="AS783" t="s">
        <v>12389</v>
      </c>
      <c r="AT783" t="s">
        <v>12165</v>
      </c>
      <c r="AU783">
        <v>2006</v>
      </c>
      <c r="AV783">
        <v>143</v>
      </c>
      <c r="AW783">
        <v>3</v>
      </c>
      <c r="AX783" t="s">
        <v>74</v>
      </c>
      <c r="AY783" t="s">
        <v>74</v>
      </c>
      <c r="AZ783" t="s">
        <v>74</v>
      </c>
      <c r="BA783" t="s">
        <v>74</v>
      </c>
      <c r="BB783">
        <v>456</v>
      </c>
      <c r="BC783">
        <v>467</v>
      </c>
      <c r="BD783" t="s">
        <v>74</v>
      </c>
      <c r="BE783" t="s">
        <v>12390</v>
      </c>
      <c r="BF783" t="str">
        <f>HYPERLINK("http://dx.doi.org/10.1016/j.envpol.2005.12.005","http://dx.doi.org/10.1016/j.envpol.2005.12.005")</f>
        <v>http://dx.doi.org/10.1016/j.envpol.2005.12.005</v>
      </c>
      <c r="BG783" t="s">
        <v>74</v>
      </c>
      <c r="BH783" t="s">
        <v>74</v>
      </c>
      <c r="BI783">
        <v>12</v>
      </c>
      <c r="BJ783" t="s">
        <v>237</v>
      </c>
      <c r="BK783" t="s">
        <v>97</v>
      </c>
      <c r="BL783" t="s">
        <v>226</v>
      </c>
      <c r="BM783" t="s">
        <v>12391</v>
      </c>
      <c r="BN783">
        <v>16487638</v>
      </c>
      <c r="BO783" t="s">
        <v>74</v>
      </c>
      <c r="BP783" t="s">
        <v>74</v>
      </c>
      <c r="BQ783" t="s">
        <v>74</v>
      </c>
      <c r="BR783" t="s">
        <v>100</v>
      </c>
      <c r="BS783" t="s">
        <v>12392</v>
      </c>
      <c r="BT783" t="str">
        <f>HYPERLINK("https%3A%2F%2Fwww.webofscience.com%2Fwos%2Fwoscc%2Ffull-record%2FWOS:000238806200009","View Full Record in Web of Science")</f>
        <v>View Full Record in Web of Science</v>
      </c>
    </row>
    <row r="784" spans="1:72" x14ac:dyDescent="0.15">
      <c r="A784" t="s">
        <v>72</v>
      </c>
      <c r="B784" t="s">
        <v>12393</v>
      </c>
      <c r="C784" t="s">
        <v>74</v>
      </c>
      <c r="D784" t="s">
        <v>74</v>
      </c>
      <c r="E784" t="s">
        <v>74</v>
      </c>
      <c r="F784" t="s">
        <v>12394</v>
      </c>
      <c r="G784" t="s">
        <v>74</v>
      </c>
      <c r="H784" t="s">
        <v>74</v>
      </c>
      <c r="I784" t="s">
        <v>12395</v>
      </c>
      <c r="J784" t="s">
        <v>8612</v>
      </c>
      <c r="K784" t="s">
        <v>74</v>
      </c>
      <c r="L784" t="s">
        <v>74</v>
      </c>
      <c r="M784" t="s">
        <v>78</v>
      </c>
      <c r="N784" t="s">
        <v>79</v>
      </c>
      <c r="O784" t="s">
        <v>74</v>
      </c>
      <c r="P784" t="s">
        <v>74</v>
      </c>
      <c r="Q784" t="s">
        <v>74</v>
      </c>
      <c r="R784" t="s">
        <v>74</v>
      </c>
      <c r="S784" t="s">
        <v>74</v>
      </c>
      <c r="T784" t="s">
        <v>12396</v>
      </c>
      <c r="U784" t="s">
        <v>12397</v>
      </c>
      <c r="V784" t="s">
        <v>12398</v>
      </c>
      <c r="W784" t="s">
        <v>12399</v>
      </c>
      <c r="X784" t="s">
        <v>12400</v>
      </c>
      <c r="Y784" t="s">
        <v>12401</v>
      </c>
      <c r="Z784" t="s">
        <v>12402</v>
      </c>
      <c r="AA784" t="s">
        <v>12403</v>
      </c>
      <c r="AB784" t="s">
        <v>12404</v>
      </c>
      <c r="AC784" t="s">
        <v>74</v>
      </c>
      <c r="AD784" t="s">
        <v>74</v>
      </c>
      <c r="AE784" t="s">
        <v>74</v>
      </c>
      <c r="AF784" t="s">
        <v>74</v>
      </c>
      <c r="AG784">
        <v>23</v>
      </c>
      <c r="AH784">
        <v>43</v>
      </c>
      <c r="AI784">
        <v>50</v>
      </c>
      <c r="AJ784">
        <v>2</v>
      </c>
      <c r="AK784">
        <v>29</v>
      </c>
      <c r="AL784" t="s">
        <v>8622</v>
      </c>
      <c r="AM784" t="s">
        <v>2148</v>
      </c>
      <c r="AN784" t="s">
        <v>12405</v>
      </c>
      <c r="AO784" t="s">
        <v>8624</v>
      </c>
      <c r="AP784" t="s">
        <v>8625</v>
      </c>
      <c r="AQ784" t="s">
        <v>74</v>
      </c>
      <c r="AR784" t="s">
        <v>8612</v>
      </c>
      <c r="AS784" t="s">
        <v>8626</v>
      </c>
      <c r="AT784" t="s">
        <v>12165</v>
      </c>
      <c r="AU784">
        <v>2006</v>
      </c>
      <c r="AV784">
        <v>10</v>
      </c>
      <c r="AW784">
        <v>5</v>
      </c>
      <c r="AX784" t="s">
        <v>74</v>
      </c>
      <c r="AY784" t="s">
        <v>74</v>
      </c>
      <c r="AZ784" t="s">
        <v>74</v>
      </c>
      <c r="BA784" t="s">
        <v>74</v>
      </c>
      <c r="BB784">
        <v>461</v>
      </c>
      <c r="BC784">
        <v>467</v>
      </c>
      <c r="BD784" t="s">
        <v>74</v>
      </c>
      <c r="BE784" t="s">
        <v>12406</v>
      </c>
      <c r="BF784" t="str">
        <f>HYPERLINK("http://dx.doi.org/10.1007/s00792-006-0523-2","http://dx.doi.org/10.1007/s00792-006-0523-2")</f>
        <v>http://dx.doi.org/10.1007/s00792-006-0523-2</v>
      </c>
      <c r="BG784" t="s">
        <v>74</v>
      </c>
      <c r="BH784" t="s">
        <v>74</v>
      </c>
      <c r="BI784">
        <v>7</v>
      </c>
      <c r="BJ784" t="s">
        <v>8628</v>
      </c>
      <c r="BK784" t="s">
        <v>97</v>
      </c>
      <c r="BL784" t="s">
        <v>8628</v>
      </c>
      <c r="BM784" t="s">
        <v>12407</v>
      </c>
      <c r="BN784">
        <v>16715185</v>
      </c>
      <c r="BO784" t="s">
        <v>74</v>
      </c>
      <c r="BP784" t="s">
        <v>74</v>
      </c>
      <c r="BQ784" t="s">
        <v>74</v>
      </c>
      <c r="BR784" t="s">
        <v>100</v>
      </c>
      <c r="BS784" t="s">
        <v>12408</v>
      </c>
      <c r="BT784" t="str">
        <f>HYPERLINK("https%3A%2F%2Fwww.webofscience.com%2Fwos%2Fwoscc%2Ffull-record%2FWOS:000241861500012","View Full Record in Web of Science")</f>
        <v>View Full Record in Web of Science</v>
      </c>
    </row>
    <row r="785" spans="1:72" x14ac:dyDescent="0.15">
      <c r="A785" t="s">
        <v>72</v>
      </c>
      <c r="B785" t="s">
        <v>12409</v>
      </c>
      <c r="C785" t="s">
        <v>74</v>
      </c>
      <c r="D785" t="s">
        <v>74</v>
      </c>
      <c r="E785" t="s">
        <v>74</v>
      </c>
      <c r="F785" t="s">
        <v>12410</v>
      </c>
      <c r="G785" t="s">
        <v>74</v>
      </c>
      <c r="H785" t="s">
        <v>74</v>
      </c>
      <c r="I785" t="s">
        <v>12411</v>
      </c>
      <c r="J785" t="s">
        <v>2628</v>
      </c>
      <c r="K785" t="s">
        <v>74</v>
      </c>
      <c r="L785" t="s">
        <v>74</v>
      </c>
      <c r="M785" t="s">
        <v>78</v>
      </c>
      <c r="N785" t="s">
        <v>79</v>
      </c>
      <c r="O785" t="s">
        <v>74</v>
      </c>
      <c r="P785" t="s">
        <v>74</v>
      </c>
      <c r="Q785" t="s">
        <v>74</v>
      </c>
      <c r="R785" t="s">
        <v>74</v>
      </c>
      <c r="S785" t="s">
        <v>74</v>
      </c>
      <c r="T785" t="s">
        <v>74</v>
      </c>
      <c r="U785" t="s">
        <v>12412</v>
      </c>
      <c r="V785" t="s">
        <v>12413</v>
      </c>
      <c r="W785" t="s">
        <v>12414</v>
      </c>
      <c r="X785" t="s">
        <v>12415</v>
      </c>
      <c r="Y785" t="s">
        <v>12416</v>
      </c>
      <c r="Z785" t="s">
        <v>12417</v>
      </c>
      <c r="AA785" t="s">
        <v>12418</v>
      </c>
      <c r="AB785" t="s">
        <v>12419</v>
      </c>
      <c r="AC785" t="s">
        <v>74</v>
      </c>
      <c r="AD785" t="s">
        <v>74</v>
      </c>
      <c r="AE785" t="s">
        <v>74</v>
      </c>
      <c r="AF785" t="s">
        <v>74</v>
      </c>
      <c r="AG785">
        <v>47</v>
      </c>
      <c r="AH785">
        <v>22</v>
      </c>
      <c r="AI785">
        <v>24</v>
      </c>
      <c r="AJ785">
        <v>0</v>
      </c>
      <c r="AK785">
        <v>9</v>
      </c>
      <c r="AL785" t="s">
        <v>817</v>
      </c>
      <c r="AM785" t="s">
        <v>818</v>
      </c>
      <c r="AN785" t="s">
        <v>819</v>
      </c>
      <c r="AO785" t="s">
        <v>2635</v>
      </c>
      <c r="AP785" t="s">
        <v>2636</v>
      </c>
      <c r="AQ785" t="s">
        <v>74</v>
      </c>
      <c r="AR785" t="s">
        <v>2637</v>
      </c>
      <c r="AS785" t="s">
        <v>2638</v>
      </c>
      <c r="AT785" t="s">
        <v>12420</v>
      </c>
      <c r="AU785">
        <v>2006</v>
      </c>
      <c r="AV785">
        <v>70</v>
      </c>
      <c r="AW785">
        <v>19</v>
      </c>
      <c r="AX785" t="s">
        <v>74</v>
      </c>
      <c r="AY785" t="s">
        <v>74</v>
      </c>
      <c r="AZ785" t="s">
        <v>74</v>
      </c>
      <c r="BA785" t="s">
        <v>74</v>
      </c>
      <c r="BB785">
        <v>5061</v>
      </c>
      <c r="BC785">
        <v>5073</v>
      </c>
      <c r="BD785" t="s">
        <v>74</v>
      </c>
      <c r="BE785" t="s">
        <v>12421</v>
      </c>
      <c r="BF785" t="str">
        <f>HYPERLINK("http://dx.doi.org/10.1016/j.gca.2006.06.1566","http://dx.doi.org/10.1016/j.gca.2006.06.1566")</f>
        <v>http://dx.doi.org/10.1016/j.gca.2006.06.1566</v>
      </c>
      <c r="BG785" t="s">
        <v>74</v>
      </c>
      <c r="BH785" t="s">
        <v>74</v>
      </c>
      <c r="BI785">
        <v>13</v>
      </c>
      <c r="BJ785" t="s">
        <v>865</v>
      </c>
      <c r="BK785" t="s">
        <v>97</v>
      </c>
      <c r="BL785" t="s">
        <v>865</v>
      </c>
      <c r="BM785" t="s">
        <v>12422</v>
      </c>
      <c r="BN785" t="s">
        <v>74</v>
      </c>
      <c r="BO785" t="s">
        <v>74</v>
      </c>
      <c r="BP785" t="s">
        <v>74</v>
      </c>
      <c r="BQ785" t="s">
        <v>74</v>
      </c>
      <c r="BR785" t="s">
        <v>100</v>
      </c>
      <c r="BS785" t="s">
        <v>12423</v>
      </c>
      <c r="BT785" t="str">
        <f>HYPERLINK("https%3A%2F%2Fwww.webofscience.com%2Fwos%2Fwoscc%2Ffull-record%2FWOS:000241143300015","View Full Record in Web of Science")</f>
        <v>View Full Record in Web of Science</v>
      </c>
    </row>
    <row r="786" spans="1:72" x14ac:dyDescent="0.15">
      <c r="A786" t="s">
        <v>72</v>
      </c>
      <c r="B786" t="s">
        <v>12424</v>
      </c>
      <c r="C786" t="s">
        <v>74</v>
      </c>
      <c r="D786" t="s">
        <v>74</v>
      </c>
      <c r="E786" t="s">
        <v>74</v>
      </c>
      <c r="F786" t="s">
        <v>12425</v>
      </c>
      <c r="G786" t="s">
        <v>74</v>
      </c>
      <c r="H786" t="s">
        <v>74</v>
      </c>
      <c r="I786" t="s">
        <v>12426</v>
      </c>
      <c r="J786" t="s">
        <v>8698</v>
      </c>
      <c r="K786" t="s">
        <v>74</v>
      </c>
      <c r="L786" t="s">
        <v>74</v>
      </c>
      <c r="M786" t="s">
        <v>78</v>
      </c>
      <c r="N786" t="s">
        <v>79</v>
      </c>
      <c r="O786" t="s">
        <v>74</v>
      </c>
      <c r="P786" t="s">
        <v>74</v>
      </c>
      <c r="Q786" t="s">
        <v>74</v>
      </c>
      <c r="R786" t="s">
        <v>74</v>
      </c>
      <c r="S786" t="s">
        <v>74</v>
      </c>
      <c r="T786" t="s">
        <v>74</v>
      </c>
      <c r="U786" t="s">
        <v>12427</v>
      </c>
      <c r="V786" t="s">
        <v>12428</v>
      </c>
      <c r="W786" t="s">
        <v>12429</v>
      </c>
      <c r="X786" t="s">
        <v>12430</v>
      </c>
      <c r="Y786" t="s">
        <v>12431</v>
      </c>
      <c r="Z786" t="s">
        <v>74</v>
      </c>
      <c r="AA786" t="s">
        <v>74</v>
      </c>
      <c r="AB786" t="s">
        <v>74</v>
      </c>
      <c r="AC786" t="s">
        <v>74</v>
      </c>
      <c r="AD786" t="s">
        <v>74</v>
      </c>
      <c r="AE786" t="s">
        <v>74</v>
      </c>
      <c r="AF786" t="s">
        <v>74</v>
      </c>
      <c r="AG786">
        <v>27</v>
      </c>
      <c r="AH786">
        <v>7</v>
      </c>
      <c r="AI786">
        <v>8</v>
      </c>
      <c r="AJ786">
        <v>0</v>
      </c>
      <c r="AK786">
        <v>1</v>
      </c>
      <c r="AL786" t="s">
        <v>6640</v>
      </c>
      <c r="AM786" t="s">
        <v>678</v>
      </c>
      <c r="AN786" t="s">
        <v>6641</v>
      </c>
      <c r="AO786" t="s">
        <v>8703</v>
      </c>
      <c r="AP786" t="s">
        <v>8704</v>
      </c>
      <c r="AQ786" t="s">
        <v>74</v>
      </c>
      <c r="AR786" t="s">
        <v>8705</v>
      </c>
      <c r="AS786" t="s">
        <v>8706</v>
      </c>
      <c r="AT786" t="s">
        <v>12165</v>
      </c>
      <c r="AU786">
        <v>2006</v>
      </c>
      <c r="AV786">
        <v>46</v>
      </c>
      <c r="AW786">
        <v>5</v>
      </c>
      <c r="AX786" t="s">
        <v>74</v>
      </c>
      <c r="AY786" t="s">
        <v>74</v>
      </c>
      <c r="AZ786" t="s">
        <v>74</v>
      </c>
      <c r="BA786" t="s">
        <v>74</v>
      </c>
      <c r="BB786">
        <v>622</v>
      </c>
      <c r="BC786">
        <v>634</v>
      </c>
      <c r="BD786" t="s">
        <v>74</v>
      </c>
      <c r="BE786" t="s">
        <v>12432</v>
      </c>
      <c r="BF786" t="str">
        <f>HYPERLINK("http://dx.doi.org/10.1134/S0016793206050100","http://dx.doi.org/10.1134/S0016793206050100")</f>
        <v>http://dx.doi.org/10.1134/S0016793206050100</v>
      </c>
      <c r="BG786" t="s">
        <v>74</v>
      </c>
      <c r="BH786" t="s">
        <v>74</v>
      </c>
      <c r="BI786">
        <v>13</v>
      </c>
      <c r="BJ786" t="s">
        <v>865</v>
      </c>
      <c r="BK786" t="s">
        <v>97</v>
      </c>
      <c r="BL786" t="s">
        <v>865</v>
      </c>
      <c r="BM786" t="s">
        <v>12433</v>
      </c>
      <c r="BN786" t="s">
        <v>74</v>
      </c>
      <c r="BO786" t="s">
        <v>74</v>
      </c>
      <c r="BP786" t="s">
        <v>74</v>
      </c>
      <c r="BQ786" t="s">
        <v>74</v>
      </c>
      <c r="BR786" t="s">
        <v>100</v>
      </c>
      <c r="BS786" t="s">
        <v>12434</v>
      </c>
      <c r="BT786" t="str">
        <f>HYPERLINK("https%3A%2F%2Fwww.webofscience.com%2Fwos%2Fwoscc%2Ffull-record%2FWOS:000244578500010","View Full Record in Web of Science")</f>
        <v>View Full Record in Web of Science</v>
      </c>
    </row>
    <row r="787" spans="1:72" x14ac:dyDescent="0.15">
      <c r="A787" t="s">
        <v>72</v>
      </c>
      <c r="B787" t="s">
        <v>12435</v>
      </c>
      <c r="C787" t="s">
        <v>74</v>
      </c>
      <c r="D787" t="s">
        <v>74</v>
      </c>
      <c r="E787" t="s">
        <v>74</v>
      </c>
      <c r="F787" t="s">
        <v>12436</v>
      </c>
      <c r="G787" t="s">
        <v>74</v>
      </c>
      <c r="H787" t="s">
        <v>74</v>
      </c>
      <c r="I787" t="s">
        <v>12437</v>
      </c>
      <c r="J787" t="s">
        <v>8713</v>
      </c>
      <c r="K787" t="s">
        <v>74</v>
      </c>
      <c r="L787" t="s">
        <v>74</v>
      </c>
      <c r="M787" t="s">
        <v>78</v>
      </c>
      <c r="N787" t="s">
        <v>79</v>
      </c>
      <c r="O787" t="s">
        <v>74</v>
      </c>
      <c r="P787" t="s">
        <v>74</v>
      </c>
      <c r="Q787" t="s">
        <v>74</v>
      </c>
      <c r="R787" t="s">
        <v>74</v>
      </c>
      <c r="S787" t="s">
        <v>74</v>
      </c>
      <c r="T787" t="s">
        <v>12438</v>
      </c>
      <c r="U787" t="s">
        <v>12439</v>
      </c>
      <c r="V787" t="s">
        <v>12440</v>
      </c>
      <c r="W787" t="s">
        <v>12441</v>
      </c>
      <c r="X787" t="s">
        <v>12442</v>
      </c>
      <c r="Y787" t="s">
        <v>12443</v>
      </c>
      <c r="Z787" t="s">
        <v>12444</v>
      </c>
      <c r="AA787" t="s">
        <v>12445</v>
      </c>
      <c r="AB787" t="s">
        <v>74</v>
      </c>
      <c r="AC787" t="s">
        <v>74</v>
      </c>
      <c r="AD787" t="s">
        <v>74</v>
      </c>
      <c r="AE787" t="s">
        <v>74</v>
      </c>
      <c r="AF787" t="s">
        <v>74</v>
      </c>
      <c r="AG787">
        <v>40</v>
      </c>
      <c r="AH787">
        <v>42</v>
      </c>
      <c r="AI787">
        <v>49</v>
      </c>
      <c r="AJ787">
        <v>4</v>
      </c>
      <c r="AK787">
        <v>154</v>
      </c>
      <c r="AL787" t="s">
        <v>159</v>
      </c>
      <c r="AM787" t="s">
        <v>160</v>
      </c>
      <c r="AN787" t="s">
        <v>161</v>
      </c>
      <c r="AO787" t="s">
        <v>8723</v>
      </c>
      <c r="AP787" t="s">
        <v>12446</v>
      </c>
      <c r="AQ787" t="s">
        <v>74</v>
      </c>
      <c r="AR787" t="s">
        <v>8724</v>
      </c>
      <c r="AS787" t="s">
        <v>8725</v>
      </c>
      <c r="AT787" t="s">
        <v>12165</v>
      </c>
      <c r="AU787">
        <v>2006</v>
      </c>
      <c r="AV787">
        <v>12</v>
      </c>
      <c r="AW787">
        <v>10</v>
      </c>
      <c r="AX787" t="s">
        <v>74</v>
      </c>
      <c r="AY787" t="s">
        <v>74</v>
      </c>
      <c r="AZ787" t="s">
        <v>74</v>
      </c>
      <c r="BA787" t="s">
        <v>74</v>
      </c>
      <c r="BB787">
        <v>2005</v>
      </c>
      <c r="BC787">
        <v>2013</v>
      </c>
      <c r="BD787" t="s">
        <v>74</v>
      </c>
      <c r="BE787" t="s">
        <v>12447</v>
      </c>
      <c r="BF787" t="str">
        <f>HYPERLINK("http://dx.doi.org/10.1111/j.1365-2486.2006.01216.x","http://dx.doi.org/10.1111/j.1365-2486.2006.01216.x")</f>
        <v>http://dx.doi.org/10.1111/j.1365-2486.2006.01216.x</v>
      </c>
      <c r="BG787" t="s">
        <v>74</v>
      </c>
      <c r="BH787" t="s">
        <v>74</v>
      </c>
      <c r="BI787">
        <v>9</v>
      </c>
      <c r="BJ787" t="s">
        <v>8469</v>
      </c>
      <c r="BK787" t="s">
        <v>97</v>
      </c>
      <c r="BL787" t="s">
        <v>5603</v>
      </c>
      <c r="BM787" t="s">
        <v>12448</v>
      </c>
      <c r="BN787" t="s">
        <v>74</v>
      </c>
      <c r="BO787" t="s">
        <v>74</v>
      </c>
      <c r="BP787" t="s">
        <v>74</v>
      </c>
      <c r="BQ787" t="s">
        <v>74</v>
      </c>
      <c r="BR787" t="s">
        <v>100</v>
      </c>
      <c r="BS787" t="s">
        <v>12449</v>
      </c>
      <c r="BT787" t="str">
        <f>HYPERLINK("https%3A%2F%2Fwww.webofscience.com%2Fwos%2Fwoscc%2Ffull-record%2FWOS:000240561000016","View Full Record in Web of Science")</f>
        <v>View Full Record in Web of Science</v>
      </c>
    </row>
    <row r="788" spans="1:72" x14ac:dyDescent="0.15">
      <c r="A788" t="s">
        <v>72</v>
      </c>
      <c r="B788" t="s">
        <v>12450</v>
      </c>
      <c r="C788" t="s">
        <v>74</v>
      </c>
      <c r="D788" t="s">
        <v>74</v>
      </c>
      <c r="E788" t="s">
        <v>74</v>
      </c>
      <c r="F788" t="s">
        <v>12451</v>
      </c>
      <c r="G788" t="s">
        <v>74</v>
      </c>
      <c r="H788" t="s">
        <v>74</v>
      </c>
      <c r="I788" t="s">
        <v>12452</v>
      </c>
      <c r="J788" t="s">
        <v>3008</v>
      </c>
      <c r="K788" t="s">
        <v>74</v>
      </c>
      <c r="L788" t="s">
        <v>74</v>
      </c>
      <c r="M788" t="s">
        <v>78</v>
      </c>
      <c r="N788" t="s">
        <v>176</v>
      </c>
      <c r="O788" t="s">
        <v>12453</v>
      </c>
      <c r="P788" t="s">
        <v>12454</v>
      </c>
      <c r="Q788" t="s">
        <v>12455</v>
      </c>
      <c r="R788" t="s">
        <v>74</v>
      </c>
      <c r="S788" t="s">
        <v>74</v>
      </c>
      <c r="T788" t="s">
        <v>12456</v>
      </c>
      <c r="U788" t="s">
        <v>74</v>
      </c>
      <c r="V788" t="s">
        <v>12457</v>
      </c>
      <c r="W788" t="s">
        <v>12458</v>
      </c>
      <c r="X788" t="s">
        <v>3101</v>
      </c>
      <c r="Y788" t="s">
        <v>12459</v>
      </c>
      <c r="Z788" t="s">
        <v>12460</v>
      </c>
      <c r="AA788" t="s">
        <v>12461</v>
      </c>
      <c r="AB788" t="s">
        <v>12462</v>
      </c>
      <c r="AC788" t="s">
        <v>74</v>
      </c>
      <c r="AD788" t="s">
        <v>74</v>
      </c>
      <c r="AE788" t="s">
        <v>74</v>
      </c>
      <c r="AF788" t="s">
        <v>74</v>
      </c>
      <c r="AG788">
        <v>25</v>
      </c>
      <c r="AH788">
        <v>45</v>
      </c>
      <c r="AI788">
        <v>46</v>
      </c>
      <c r="AJ788">
        <v>0</v>
      </c>
      <c r="AK788">
        <v>7</v>
      </c>
      <c r="AL788" t="s">
        <v>3018</v>
      </c>
      <c r="AM788" t="s">
        <v>3019</v>
      </c>
      <c r="AN788" t="s">
        <v>12463</v>
      </c>
      <c r="AO788" t="s">
        <v>3021</v>
      </c>
      <c r="AP788" t="s">
        <v>12464</v>
      </c>
      <c r="AQ788" t="s">
        <v>74</v>
      </c>
      <c r="AR788" t="s">
        <v>3022</v>
      </c>
      <c r="AS788" t="s">
        <v>3023</v>
      </c>
      <c r="AT788" t="s">
        <v>12165</v>
      </c>
      <c r="AU788">
        <v>2006</v>
      </c>
      <c r="AV788">
        <v>44</v>
      </c>
      <c r="AW788">
        <v>10</v>
      </c>
      <c r="AX788">
        <v>1</v>
      </c>
      <c r="AY788" t="s">
        <v>74</v>
      </c>
      <c r="AZ788" t="s">
        <v>74</v>
      </c>
      <c r="BA788" t="s">
        <v>74</v>
      </c>
      <c r="BB788">
        <v>2642</v>
      </c>
      <c r="BC788">
        <v>2653</v>
      </c>
      <c r="BD788" t="s">
        <v>74</v>
      </c>
      <c r="BE788" t="s">
        <v>12465</v>
      </c>
      <c r="BF788" t="str">
        <f>HYPERLINK("http://dx.doi.org/10.1109/TGRS.2006.882801","http://dx.doi.org/10.1109/TGRS.2006.882801")</f>
        <v>http://dx.doi.org/10.1109/TGRS.2006.882801</v>
      </c>
      <c r="BG788" t="s">
        <v>74</v>
      </c>
      <c r="BH788" t="s">
        <v>74</v>
      </c>
      <c r="BI788">
        <v>12</v>
      </c>
      <c r="BJ788" t="s">
        <v>3025</v>
      </c>
      <c r="BK788" t="s">
        <v>197</v>
      </c>
      <c r="BL788" t="s">
        <v>3026</v>
      </c>
      <c r="BM788" t="s">
        <v>12466</v>
      </c>
      <c r="BN788" t="s">
        <v>74</v>
      </c>
      <c r="BO788" t="s">
        <v>74</v>
      </c>
      <c r="BP788" t="s">
        <v>74</v>
      </c>
      <c r="BQ788" t="s">
        <v>74</v>
      </c>
      <c r="BR788" t="s">
        <v>100</v>
      </c>
      <c r="BS788" t="s">
        <v>12467</v>
      </c>
      <c r="BT788" t="str">
        <f>HYPERLINK("https%3A%2F%2Fwww.webofscience.com%2Fwos%2Fwoscc%2Ffull-record%2FWOS:000240881000004","View Full Record in Web of Science")</f>
        <v>View Full Record in Web of Science</v>
      </c>
    </row>
    <row r="789" spans="1:72" x14ac:dyDescent="0.15">
      <c r="A789" t="s">
        <v>72</v>
      </c>
      <c r="B789" t="s">
        <v>12468</v>
      </c>
      <c r="C789" t="s">
        <v>74</v>
      </c>
      <c r="D789" t="s">
        <v>74</v>
      </c>
      <c r="E789" t="s">
        <v>74</v>
      </c>
      <c r="F789" t="s">
        <v>12469</v>
      </c>
      <c r="G789" t="s">
        <v>74</v>
      </c>
      <c r="H789" t="s">
        <v>74</v>
      </c>
      <c r="I789" t="s">
        <v>12470</v>
      </c>
      <c r="J789" t="s">
        <v>3008</v>
      </c>
      <c r="K789" t="s">
        <v>74</v>
      </c>
      <c r="L789" t="s">
        <v>74</v>
      </c>
      <c r="M789" t="s">
        <v>78</v>
      </c>
      <c r="N789" t="s">
        <v>176</v>
      </c>
      <c r="O789" t="s">
        <v>12471</v>
      </c>
      <c r="P789" t="s">
        <v>12454</v>
      </c>
      <c r="Q789" t="s">
        <v>12455</v>
      </c>
      <c r="R789" t="s">
        <v>74</v>
      </c>
      <c r="S789" t="s">
        <v>74</v>
      </c>
      <c r="T789" t="s">
        <v>12472</v>
      </c>
      <c r="U789" t="s">
        <v>12473</v>
      </c>
      <c r="V789" t="s">
        <v>12474</v>
      </c>
      <c r="W789" t="s">
        <v>12475</v>
      </c>
      <c r="X789" t="s">
        <v>12476</v>
      </c>
      <c r="Y789" t="s">
        <v>12477</v>
      </c>
      <c r="Z789" t="s">
        <v>12478</v>
      </c>
      <c r="AA789" t="s">
        <v>12479</v>
      </c>
      <c r="AB789" t="s">
        <v>12480</v>
      </c>
      <c r="AC789" t="s">
        <v>74</v>
      </c>
      <c r="AD789" t="s">
        <v>74</v>
      </c>
      <c r="AE789" t="s">
        <v>74</v>
      </c>
      <c r="AF789" t="s">
        <v>74</v>
      </c>
      <c r="AG789">
        <v>15</v>
      </c>
      <c r="AH789">
        <v>19</v>
      </c>
      <c r="AI789">
        <v>22</v>
      </c>
      <c r="AJ789">
        <v>0</v>
      </c>
      <c r="AK789">
        <v>12</v>
      </c>
      <c r="AL789" t="s">
        <v>3018</v>
      </c>
      <c r="AM789" t="s">
        <v>3019</v>
      </c>
      <c r="AN789" t="s">
        <v>3020</v>
      </c>
      <c r="AO789" t="s">
        <v>3021</v>
      </c>
      <c r="AP789" t="s">
        <v>74</v>
      </c>
      <c r="AQ789" t="s">
        <v>74</v>
      </c>
      <c r="AR789" t="s">
        <v>3022</v>
      </c>
      <c r="AS789" t="s">
        <v>3023</v>
      </c>
      <c r="AT789" t="s">
        <v>12165</v>
      </c>
      <c r="AU789">
        <v>2006</v>
      </c>
      <c r="AV789">
        <v>44</v>
      </c>
      <c r="AW789">
        <v>10</v>
      </c>
      <c r="AX789">
        <v>1</v>
      </c>
      <c r="AY789" t="s">
        <v>74</v>
      </c>
      <c r="AZ789" t="s">
        <v>74</v>
      </c>
      <c r="BA789" t="s">
        <v>74</v>
      </c>
      <c r="BB789">
        <v>2687</v>
      </c>
      <c r="BC789">
        <v>2697</v>
      </c>
      <c r="BD789" t="s">
        <v>74</v>
      </c>
      <c r="BE789" t="s">
        <v>12481</v>
      </c>
      <c r="BF789" t="str">
        <f>HYPERLINK("http://dx.doi.org/10.1109/TGRS.2006.871894","http://dx.doi.org/10.1109/TGRS.2006.871894")</f>
        <v>http://dx.doi.org/10.1109/TGRS.2006.871894</v>
      </c>
      <c r="BG789" t="s">
        <v>74</v>
      </c>
      <c r="BH789" t="s">
        <v>74</v>
      </c>
      <c r="BI789">
        <v>11</v>
      </c>
      <c r="BJ789" t="s">
        <v>3025</v>
      </c>
      <c r="BK789" t="s">
        <v>1847</v>
      </c>
      <c r="BL789" t="s">
        <v>3026</v>
      </c>
      <c r="BM789" t="s">
        <v>12466</v>
      </c>
      <c r="BN789" t="s">
        <v>74</v>
      </c>
      <c r="BO789" t="s">
        <v>74</v>
      </c>
      <c r="BP789" t="s">
        <v>74</v>
      </c>
      <c r="BQ789" t="s">
        <v>74</v>
      </c>
      <c r="BR789" t="s">
        <v>100</v>
      </c>
      <c r="BS789" t="s">
        <v>12482</v>
      </c>
      <c r="BT789" t="str">
        <f>HYPERLINK("https%3A%2F%2Fwww.webofscience.com%2Fwos%2Fwoscc%2Ffull-record%2FWOS:000240881000008","View Full Record in Web of Science")</f>
        <v>View Full Record in Web of Science</v>
      </c>
    </row>
    <row r="790" spans="1:72" x14ac:dyDescent="0.15">
      <c r="A790" t="s">
        <v>72</v>
      </c>
      <c r="B790" t="s">
        <v>12483</v>
      </c>
      <c r="C790" t="s">
        <v>74</v>
      </c>
      <c r="D790" t="s">
        <v>74</v>
      </c>
      <c r="E790" t="s">
        <v>74</v>
      </c>
      <c r="F790" t="s">
        <v>12484</v>
      </c>
      <c r="G790" t="s">
        <v>74</v>
      </c>
      <c r="H790" t="s">
        <v>74</v>
      </c>
      <c r="I790" t="s">
        <v>12485</v>
      </c>
      <c r="J790" t="s">
        <v>12486</v>
      </c>
      <c r="K790" t="s">
        <v>74</v>
      </c>
      <c r="L790" t="s">
        <v>74</v>
      </c>
      <c r="M790" t="s">
        <v>78</v>
      </c>
      <c r="N790" t="s">
        <v>79</v>
      </c>
      <c r="O790" t="s">
        <v>74</v>
      </c>
      <c r="P790" t="s">
        <v>74</v>
      </c>
      <c r="Q790" t="s">
        <v>74</v>
      </c>
      <c r="R790" t="s">
        <v>74</v>
      </c>
      <c r="S790" t="s">
        <v>74</v>
      </c>
      <c r="T790" t="s">
        <v>12487</v>
      </c>
      <c r="U790" t="s">
        <v>74</v>
      </c>
      <c r="V790" t="s">
        <v>12488</v>
      </c>
      <c r="W790" t="s">
        <v>12489</v>
      </c>
      <c r="X790" t="s">
        <v>12490</v>
      </c>
      <c r="Y790" t="s">
        <v>12491</v>
      </c>
      <c r="Z790" t="s">
        <v>12492</v>
      </c>
      <c r="AA790" t="s">
        <v>12493</v>
      </c>
      <c r="AB790" t="s">
        <v>12494</v>
      </c>
      <c r="AC790" t="s">
        <v>74</v>
      </c>
      <c r="AD790" t="s">
        <v>74</v>
      </c>
      <c r="AE790" t="s">
        <v>74</v>
      </c>
      <c r="AF790" t="s">
        <v>74</v>
      </c>
      <c r="AG790">
        <v>20</v>
      </c>
      <c r="AH790">
        <v>4</v>
      </c>
      <c r="AI790">
        <v>4</v>
      </c>
      <c r="AJ790">
        <v>1</v>
      </c>
      <c r="AK790">
        <v>6</v>
      </c>
      <c r="AL790" t="s">
        <v>3018</v>
      </c>
      <c r="AM790" t="s">
        <v>3019</v>
      </c>
      <c r="AN790" t="s">
        <v>12463</v>
      </c>
      <c r="AO790" t="s">
        <v>12495</v>
      </c>
      <c r="AP790" t="s">
        <v>12496</v>
      </c>
      <c r="AQ790" t="s">
        <v>74</v>
      </c>
      <c r="AR790" t="s">
        <v>12497</v>
      </c>
      <c r="AS790" t="s">
        <v>12498</v>
      </c>
      <c r="AT790" t="s">
        <v>12165</v>
      </c>
      <c r="AU790">
        <v>2006</v>
      </c>
      <c r="AV790">
        <v>55</v>
      </c>
      <c r="AW790">
        <v>5</v>
      </c>
      <c r="AX790" t="s">
        <v>74</v>
      </c>
      <c r="AY790" t="s">
        <v>74</v>
      </c>
      <c r="AZ790" t="s">
        <v>74</v>
      </c>
      <c r="BA790" t="s">
        <v>74</v>
      </c>
      <c r="BB790">
        <v>1794</v>
      </c>
      <c r="BC790">
        <v>1803</v>
      </c>
      <c r="BD790" t="s">
        <v>74</v>
      </c>
      <c r="BE790" t="s">
        <v>12499</v>
      </c>
      <c r="BF790" t="str">
        <f>HYPERLINK("http://dx.doi.org/10.1109/TIM.2006.881572","http://dx.doi.org/10.1109/TIM.2006.881572")</f>
        <v>http://dx.doi.org/10.1109/TIM.2006.881572</v>
      </c>
      <c r="BG790" t="s">
        <v>74</v>
      </c>
      <c r="BH790" t="s">
        <v>74</v>
      </c>
      <c r="BI790">
        <v>10</v>
      </c>
      <c r="BJ790" t="s">
        <v>12500</v>
      </c>
      <c r="BK790" t="s">
        <v>97</v>
      </c>
      <c r="BL790" t="s">
        <v>12501</v>
      </c>
      <c r="BM790" t="s">
        <v>12502</v>
      </c>
      <c r="BN790" t="s">
        <v>74</v>
      </c>
      <c r="BO790" t="s">
        <v>74</v>
      </c>
      <c r="BP790" t="s">
        <v>74</v>
      </c>
      <c r="BQ790" t="s">
        <v>74</v>
      </c>
      <c r="BR790" t="s">
        <v>100</v>
      </c>
      <c r="BS790" t="s">
        <v>12503</v>
      </c>
      <c r="BT790" t="str">
        <f>HYPERLINK("https%3A%2F%2Fwww.webofscience.com%2Fwos%2Fwoscc%2Ffull-record%2FWOS:000240756200048","View Full Record in Web of Science")</f>
        <v>View Full Record in Web of Science</v>
      </c>
    </row>
    <row r="791" spans="1:72" x14ac:dyDescent="0.15">
      <c r="A791" t="s">
        <v>72</v>
      </c>
      <c r="B791" t="s">
        <v>12504</v>
      </c>
      <c r="C791" t="s">
        <v>74</v>
      </c>
      <c r="D791" t="s">
        <v>74</v>
      </c>
      <c r="E791" t="s">
        <v>74</v>
      </c>
      <c r="F791" t="s">
        <v>12505</v>
      </c>
      <c r="G791" t="s">
        <v>74</v>
      </c>
      <c r="H791" t="s">
        <v>74</v>
      </c>
      <c r="I791" t="s">
        <v>12506</v>
      </c>
      <c r="J791" t="s">
        <v>3194</v>
      </c>
      <c r="K791" t="s">
        <v>74</v>
      </c>
      <c r="L791" t="s">
        <v>74</v>
      </c>
      <c r="M791" t="s">
        <v>78</v>
      </c>
      <c r="N791" t="s">
        <v>79</v>
      </c>
      <c r="O791" t="s">
        <v>74</v>
      </c>
      <c r="P791" t="s">
        <v>74</v>
      </c>
      <c r="Q791" t="s">
        <v>74</v>
      </c>
      <c r="R791" t="s">
        <v>74</v>
      </c>
      <c r="S791" t="s">
        <v>74</v>
      </c>
      <c r="T791" t="s">
        <v>12507</v>
      </c>
      <c r="U791" t="s">
        <v>12508</v>
      </c>
      <c r="V791" t="s">
        <v>12509</v>
      </c>
      <c r="W791" t="s">
        <v>12510</v>
      </c>
      <c r="X791" t="s">
        <v>8875</v>
      </c>
      <c r="Y791" t="s">
        <v>12511</v>
      </c>
      <c r="Z791" t="s">
        <v>12512</v>
      </c>
      <c r="AA791" t="s">
        <v>12513</v>
      </c>
      <c r="AB791" t="s">
        <v>12514</v>
      </c>
      <c r="AC791" t="s">
        <v>74</v>
      </c>
      <c r="AD791" t="s">
        <v>74</v>
      </c>
      <c r="AE791" t="s">
        <v>74</v>
      </c>
      <c r="AF791" t="s">
        <v>74</v>
      </c>
      <c r="AG791">
        <v>45</v>
      </c>
      <c r="AH791">
        <v>76</v>
      </c>
      <c r="AI791">
        <v>79</v>
      </c>
      <c r="AJ791">
        <v>0</v>
      </c>
      <c r="AK791">
        <v>30</v>
      </c>
      <c r="AL791" t="s">
        <v>159</v>
      </c>
      <c r="AM791" t="s">
        <v>160</v>
      </c>
      <c r="AN791" t="s">
        <v>161</v>
      </c>
      <c r="AO791" t="s">
        <v>3203</v>
      </c>
      <c r="AP791" t="s">
        <v>3204</v>
      </c>
      <c r="AQ791" t="s">
        <v>74</v>
      </c>
      <c r="AR791" t="s">
        <v>3205</v>
      </c>
      <c r="AS791" t="s">
        <v>3206</v>
      </c>
      <c r="AT791" t="s">
        <v>12165</v>
      </c>
      <c r="AU791">
        <v>2006</v>
      </c>
      <c r="AV791">
        <v>26</v>
      </c>
      <c r="AW791">
        <v>12</v>
      </c>
      <c r="AX791" t="s">
        <v>74</v>
      </c>
      <c r="AY791" t="s">
        <v>74</v>
      </c>
      <c r="AZ791" t="s">
        <v>74</v>
      </c>
      <c r="BA791" t="s">
        <v>74</v>
      </c>
      <c r="BB791">
        <v>1587</v>
      </c>
      <c r="BC791">
        <v>1605</v>
      </c>
      <c r="BD791" t="s">
        <v>74</v>
      </c>
      <c r="BE791" t="s">
        <v>12515</v>
      </c>
      <c r="BF791" t="str">
        <f>HYPERLINK("http://dx.doi.org/10.1002/joc.1323","http://dx.doi.org/10.1002/joc.1323")</f>
        <v>http://dx.doi.org/10.1002/joc.1323</v>
      </c>
      <c r="BG791" t="s">
        <v>74</v>
      </c>
      <c r="BH791" t="s">
        <v>74</v>
      </c>
      <c r="BI791">
        <v>19</v>
      </c>
      <c r="BJ791" t="s">
        <v>3208</v>
      </c>
      <c r="BK791" t="s">
        <v>97</v>
      </c>
      <c r="BL791" t="s">
        <v>3208</v>
      </c>
      <c r="BM791" t="s">
        <v>12516</v>
      </c>
      <c r="BN791" t="s">
        <v>74</v>
      </c>
      <c r="BO791" t="s">
        <v>1314</v>
      </c>
      <c r="BP791" t="s">
        <v>74</v>
      </c>
      <c r="BQ791" t="s">
        <v>74</v>
      </c>
      <c r="BR791" t="s">
        <v>100</v>
      </c>
      <c r="BS791" t="s">
        <v>12517</v>
      </c>
      <c r="BT791" t="str">
        <f>HYPERLINK("https%3A%2F%2Fwww.webofscience.com%2Fwos%2Fwoscc%2Ffull-record%2FWOS:000241478000003","View Full Record in Web of Science")</f>
        <v>View Full Record in Web of Science</v>
      </c>
    </row>
    <row r="792" spans="1:72" x14ac:dyDescent="0.15">
      <c r="A792" t="s">
        <v>72</v>
      </c>
      <c r="B792" t="s">
        <v>12518</v>
      </c>
      <c r="C792" t="s">
        <v>74</v>
      </c>
      <c r="D792" t="s">
        <v>74</v>
      </c>
      <c r="E792" t="s">
        <v>74</v>
      </c>
      <c r="F792" t="s">
        <v>12519</v>
      </c>
      <c r="G792" t="s">
        <v>74</v>
      </c>
      <c r="H792" t="s">
        <v>74</v>
      </c>
      <c r="I792" t="s">
        <v>12520</v>
      </c>
      <c r="J792" t="s">
        <v>12521</v>
      </c>
      <c r="K792" t="s">
        <v>74</v>
      </c>
      <c r="L792" t="s">
        <v>74</v>
      </c>
      <c r="M792" t="s">
        <v>78</v>
      </c>
      <c r="N792" t="s">
        <v>79</v>
      </c>
      <c r="O792" t="s">
        <v>74</v>
      </c>
      <c r="P792" t="s">
        <v>74</v>
      </c>
      <c r="Q792" t="s">
        <v>74</v>
      </c>
      <c r="R792" t="s">
        <v>74</v>
      </c>
      <c r="S792" t="s">
        <v>74</v>
      </c>
      <c r="T792" t="s">
        <v>74</v>
      </c>
      <c r="U792" t="s">
        <v>74</v>
      </c>
      <c r="V792" t="s">
        <v>12522</v>
      </c>
      <c r="W792" t="s">
        <v>12523</v>
      </c>
      <c r="X792" t="s">
        <v>6019</v>
      </c>
      <c r="Y792" t="s">
        <v>12524</v>
      </c>
      <c r="Z792" t="s">
        <v>12525</v>
      </c>
      <c r="AA792" t="s">
        <v>12526</v>
      </c>
      <c r="AB792" t="s">
        <v>74</v>
      </c>
      <c r="AC792" t="s">
        <v>74</v>
      </c>
      <c r="AD792" t="s">
        <v>74</v>
      </c>
      <c r="AE792" t="s">
        <v>74</v>
      </c>
      <c r="AF792" t="s">
        <v>74</v>
      </c>
      <c r="AG792">
        <v>9</v>
      </c>
      <c r="AH792">
        <v>2</v>
      </c>
      <c r="AI792">
        <v>2</v>
      </c>
      <c r="AJ792">
        <v>0</v>
      </c>
      <c r="AK792">
        <v>1</v>
      </c>
      <c r="AL792" t="s">
        <v>6640</v>
      </c>
      <c r="AM792" t="s">
        <v>678</v>
      </c>
      <c r="AN792" t="s">
        <v>6641</v>
      </c>
      <c r="AO792" t="s">
        <v>12527</v>
      </c>
      <c r="AP792" t="s">
        <v>12528</v>
      </c>
      <c r="AQ792" t="s">
        <v>74</v>
      </c>
      <c r="AR792" t="s">
        <v>12529</v>
      </c>
      <c r="AS792" t="s">
        <v>12530</v>
      </c>
      <c r="AT792" t="s">
        <v>12165</v>
      </c>
      <c r="AU792">
        <v>2006</v>
      </c>
      <c r="AV792">
        <v>42</v>
      </c>
      <c r="AW792">
        <v>5</v>
      </c>
      <c r="AX792" t="s">
        <v>74</v>
      </c>
      <c r="AY792" t="s">
        <v>74</v>
      </c>
      <c r="AZ792" t="s">
        <v>74</v>
      </c>
      <c r="BA792" t="s">
        <v>74</v>
      </c>
      <c r="BB792">
        <v>658</v>
      </c>
      <c r="BC792">
        <v>661</v>
      </c>
      <c r="BD792" t="s">
        <v>74</v>
      </c>
      <c r="BE792" t="s">
        <v>12531</v>
      </c>
      <c r="BF792" t="str">
        <f>HYPERLINK("http://dx.doi.org/10.1134/S0001433806050136","http://dx.doi.org/10.1134/S0001433806050136")</f>
        <v>http://dx.doi.org/10.1134/S0001433806050136</v>
      </c>
      <c r="BG792" t="s">
        <v>74</v>
      </c>
      <c r="BH792" t="s">
        <v>74</v>
      </c>
      <c r="BI792">
        <v>4</v>
      </c>
      <c r="BJ792" t="s">
        <v>5212</v>
      </c>
      <c r="BK792" t="s">
        <v>97</v>
      </c>
      <c r="BL792" t="s">
        <v>5212</v>
      </c>
      <c r="BM792" t="s">
        <v>12532</v>
      </c>
      <c r="BN792" t="s">
        <v>74</v>
      </c>
      <c r="BO792" t="s">
        <v>74</v>
      </c>
      <c r="BP792" t="s">
        <v>74</v>
      </c>
      <c r="BQ792" t="s">
        <v>74</v>
      </c>
      <c r="BR792" t="s">
        <v>100</v>
      </c>
      <c r="BS792" t="s">
        <v>12533</v>
      </c>
      <c r="BT792" t="str">
        <f>HYPERLINK("https%3A%2F%2Fwww.webofscience.com%2Fwos%2Fwoscc%2Ffull-record%2FWOS:000245705400013","View Full Record in Web of Science")</f>
        <v>View Full Record in Web of Science</v>
      </c>
    </row>
    <row r="793" spans="1:72" x14ac:dyDescent="0.15">
      <c r="A793" t="s">
        <v>72</v>
      </c>
      <c r="B793" t="s">
        <v>12534</v>
      </c>
      <c r="C793" t="s">
        <v>74</v>
      </c>
      <c r="D793" t="s">
        <v>74</v>
      </c>
      <c r="E793" t="s">
        <v>74</v>
      </c>
      <c r="F793" t="s">
        <v>12535</v>
      </c>
      <c r="G793" t="s">
        <v>74</v>
      </c>
      <c r="H793" t="s">
        <v>74</v>
      </c>
      <c r="I793" t="s">
        <v>12536</v>
      </c>
      <c r="J793" t="s">
        <v>8909</v>
      </c>
      <c r="K793" t="s">
        <v>74</v>
      </c>
      <c r="L793" t="s">
        <v>74</v>
      </c>
      <c r="M793" t="s">
        <v>78</v>
      </c>
      <c r="N793" t="s">
        <v>79</v>
      </c>
      <c r="O793" t="s">
        <v>74</v>
      </c>
      <c r="P793" t="s">
        <v>74</v>
      </c>
      <c r="Q793" t="s">
        <v>74</v>
      </c>
      <c r="R793" t="s">
        <v>74</v>
      </c>
      <c r="S793" t="s">
        <v>74</v>
      </c>
      <c r="T793" t="s">
        <v>12537</v>
      </c>
      <c r="U793" t="s">
        <v>12538</v>
      </c>
      <c r="V793" t="s">
        <v>12539</v>
      </c>
      <c r="W793" t="s">
        <v>12540</v>
      </c>
      <c r="X793" t="s">
        <v>12541</v>
      </c>
      <c r="Y793" t="s">
        <v>12542</v>
      </c>
      <c r="Z793" t="s">
        <v>12543</v>
      </c>
      <c r="AA793" t="s">
        <v>12544</v>
      </c>
      <c r="AB793" t="s">
        <v>12545</v>
      </c>
      <c r="AC793" t="s">
        <v>74</v>
      </c>
      <c r="AD793" t="s">
        <v>74</v>
      </c>
      <c r="AE793" t="s">
        <v>74</v>
      </c>
      <c r="AF793" t="s">
        <v>74</v>
      </c>
      <c r="AG793">
        <v>47</v>
      </c>
      <c r="AH793">
        <v>14</v>
      </c>
      <c r="AI793">
        <v>15</v>
      </c>
      <c r="AJ793">
        <v>1</v>
      </c>
      <c r="AK793">
        <v>22</v>
      </c>
      <c r="AL793" t="s">
        <v>613</v>
      </c>
      <c r="AM793" t="s">
        <v>614</v>
      </c>
      <c r="AN793" t="s">
        <v>1156</v>
      </c>
      <c r="AO793" t="s">
        <v>8919</v>
      </c>
      <c r="AP793" t="s">
        <v>74</v>
      </c>
      <c r="AQ793" t="s">
        <v>74</v>
      </c>
      <c r="AR793" t="s">
        <v>8920</v>
      </c>
      <c r="AS793" t="s">
        <v>8921</v>
      </c>
      <c r="AT793" t="s">
        <v>12165</v>
      </c>
      <c r="AU793">
        <v>2006</v>
      </c>
      <c r="AV793">
        <v>18</v>
      </c>
      <c r="AW793" t="s">
        <v>12546</v>
      </c>
      <c r="AX793" t="s">
        <v>74</v>
      </c>
      <c r="AY793" t="s">
        <v>74</v>
      </c>
      <c r="AZ793" t="s">
        <v>74</v>
      </c>
      <c r="BA793" t="s">
        <v>74</v>
      </c>
      <c r="BB793">
        <v>451</v>
      </c>
      <c r="BC793">
        <v>459</v>
      </c>
      <c r="BD793" t="s">
        <v>74</v>
      </c>
      <c r="BE793" t="s">
        <v>12547</v>
      </c>
      <c r="BF793" t="str">
        <f>HYPERLINK("http://dx.doi.org/10.1007/s10811-006-9051-9","http://dx.doi.org/10.1007/s10811-006-9051-9")</f>
        <v>http://dx.doi.org/10.1007/s10811-006-9051-9</v>
      </c>
      <c r="BG793" t="s">
        <v>74</v>
      </c>
      <c r="BH793" t="s">
        <v>74</v>
      </c>
      <c r="BI793">
        <v>9</v>
      </c>
      <c r="BJ793" t="s">
        <v>8923</v>
      </c>
      <c r="BK793" t="s">
        <v>97</v>
      </c>
      <c r="BL793" t="s">
        <v>8923</v>
      </c>
      <c r="BM793" t="s">
        <v>12548</v>
      </c>
      <c r="BN793" t="s">
        <v>74</v>
      </c>
      <c r="BO793" t="s">
        <v>74</v>
      </c>
      <c r="BP793" t="s">
        <v>74</v>
      </c>
      <c r="BQ793" t="s">
        <v>74</v>
      </c>
      <c r="BR793" t="s">
        <v>100</v>
      </c>
      <c r="BS793" t="s">
        <v>12549</v>
      </c>
      <c r="BT793" t="str">
        <f>HYPERLINK("https%3A%2F%2Fwww.webofscience.com%2Fwos%2Fwoscc%2Ffull-record%2FWOS:000242434900028","View Full Record in Web of Science")</f>
        <v>View Full Record in Web of Science</v>
      </c>
    </row>
    <row r="794" spans="1:72" x14ac:dyDescent="0.15">
      <c r="A794" t="s">
        <v>72</v>
      </c>
      <c r="B794" t="s">
        <v>12550</v>
      </c>
      <c r="C794" t="s">
        <v>74</v>
      </c>
      <c r="D794" t="s">
        <v>74</v>
      </c>
      <c r="E794" t="s">
        <v>74</v>
      </c>
      <c r="F794" t="s">
        <v>12551</v>
      </c>
      <c r="G794" t="s">
        <v>74</v>
      </c>
      <c r="H794" t="s">
        <v>74</v>
      </c>
      <c r="I794" t="s">
        <v>12552</v>
      </c>
      <c r="J794" t="s">
        <v>8929</v>
      </c>
      <c r="K794" t="s">
        <v>74</v>
      </c>
      <c r="L794" t="s">
        <v>74</v>
      </c>
      <c r="M794" t="s">
        <v>78</v>
      </c>
      <c r="N794" t="s">
        <v>79</v>
      </c>
      <c r="O794" t="s">
        <v>74</v>
      </c>
      <c r="P794" t="s">
        <v>74</v>
      </c>
      <c r="Q794" t="s">
        <v>74</v>
      </c>
      <c r="R794" t="s">
        <v>74</v>
      </c>
      <c r="S794" t="s">
        <v>74</v>
      </c>
      <c r="T794" t="s">
        <v>12553</v>
      </c>
      <c r="U794" t="s">
        <v>12554</v>
      </c>
      <c r="V794" t="s">
        <v>12555</v>
      </c>
      <c r="W794" t="s">
        <v>12556</v>
      </c>
      <c r="X794" t="s">
        <v>12557</v>
      </c>
      <c r="Y794" t="s">
        <v>12558</v>
      </c>
      <c r="Z794" t="s">
        <v>12559</v>
      </c>
      <c r="AA794" t="s">
        <v>12560</v>
      </c>
      <c r="AB794" t="s">
        <v>12561</v>
      </c>
      <c r="AC794" t="s">
        <v>74</v>
      </c>
      <c r="AD794" t="s">
        <v>74</v>
      </c>
      <c r="AE794" t="s">
        <v>74</v>
      </c>
      <c r="AF794" t="s">
        <v>74</v>
      </c>
      <c r="AG794">
        <v>31</v>
      </c>
      <c r="AH794">
        <v>10</v>
      </c>
      <c r="AI794">
        <v>10</v>
      </c>
      <c r="AJ794">
        <v>0</v>
      </c>
      <c r="AK794">
        <v>1</v>
      </c>
      <c r="AL794" t="s">
        <v>817</v>
      </c>
      <c r="AM794" t="s">
        <v>818</v>
      </c>
      <c r="AN794" t="s">
        <v>819</v>
      </c>
      <c r="AO794" t="s">
        <v>8938</v>
      </c>
      <c r="AP794" t="s">
        <v>8953</v>
      </c>
      <c r="AQ794" t="s">
        <v>74</v>
      </c>
      <c r="AR794" t="s">
        <v>8939</v>
      </c>
      <c r="AS794" t="s">
        <v>8940</v>
      </c>
      <c r="AT794" t="s">
        <v>12165</v>
      </c>
      <c r="AU794">
        <v>2006</v>
      </c>
      <c r="AV794">
        <v>68</v>
      </c>
      <c r="AW794">
        <v>15</v>
      </c>
      <c r="AX794" t="s">
        <v>74</v>
      </c>
      <c r="AY794" t="s">
        <v>74</v>
      </c>
      <c r="AZ794" t="s">
        <v>74</v>
      </c>
      <c r="BA794" t="s">
        <v>74</v>
      </c>
      <c r="BB794">
        <v>1698</v>
      </c>
      <c r="BC794">
        <v>1708</v>
      </c>
      <c r="BD794" t="s">
        <v>74</v>
      </c>
      <c r="BE794" t="s">
        <v>12562</v>
      </c>
      <c r="BF794" t="str">
        <f>HYPERLINK("http://dx.doi.org/10.1016/j.jastp.2005.12.009","http://dx.doi.org/10.1016/j.jastp.2005.12.009")</f>
        <v>http://dx.doi.org/10.1016/j.jastp.2005.12.009</v>
      </c>
      <c r="BG794" t="s">
        <v>74</v>
      </c>
      <c r="BH794" t="s">
        <v>74</v>
      </c>
      <c r="BI794">
        <v>11</v>
      </c>
      <c r="BJ794" t="s">
        <v>8942</v>
      </c>
      <c r="BK794" t="s">
        <v>97</v>
      </c>
      <c r="BL794" t="s">
        <v>8942</v>
      </c>
      <c r="BM794" t="s">
        <v>12563</v>
      </c>
      <c r="BN794" t="s">
        <v>74</v>
      </c>
      <c r="BO794" t="s">
        <v>1314</v>
      </c>
      <c r="BP794" t="s">
        <v>74</v>
      </c>
      <c r="BQ794" t="s">
        <v>74</v>
      </c>
      <c r="BR794" t="s">
        <v>100</v>
      </c>
      <c r="BS794" t="s">
        <v>12564</v>
      </c>
      <c r="BT794" t="str">
        <f>HYPERLINK("https%3A%2F%2Fwww.webofscience.com%2Fwos%2Fwoscc%2Ffull-record%2FWOS:000241752200003","View Full Record in Web of Science")</f>
        <v>View Full Record in Web of Science</v>
      </c>
    </row>
    <row r="795" spans="1:72" x14ac:dyDescent="0.15">
      <c r="A795" t="s">
        <v>72</v>
      </c>
      <c r="B795" t="s">
        <v>12565</v>
      </c>
      <c r="C795" t="s">
        <v>74</v>
      </c>
      <c r="D795" t="s">
        <v>74</v>
      </c>
      <c r="E795" t="s">
        <v>74</v>
      </c>
      <c r="F795" t="s">
        <v>12566</v>
      </c>
      <c r="G795" t="s">
        <v>74</v>
      </c>
      <c r="H795" t="s">
        <v>74</v>
      </c>
      <c r="I795" t="s">
        <v>12567</v>
      </c>
      <c r="J795" t="s">
        <v>8973</v>
      </c>
      <c r="K795" t="s">
        <v>74</v>
      </c>
      <c r="L795" t="s">
        <v>74</v>
      </c>
      <c r="M795" t="s">
        <v>78</v>
      </c>
      <c r="N795" t="s">
        <v>79</v>
      </c>
      <c r="O795" t="s">
        <v>74</v>
      </c>
      <c r="P795" t="s">
        <v>74</v>
      </c>
      <c r="Q795" t="s">
        <v>74</v>
      </c>
      <c r="R795" t="s">
        <v>74</v>
      </c>
      <c r="S795" t="s">
        <v>74</v>
      </c>
      <c r="T795" t="s">
        <v>12568</v>
      </c>
      <c r="U795" t="s">
        <v>12569</v>
      </c>
      <c r="V795" t="s">
        <v>12570</v>
      </c>
      <c r="W795" t="s">
        <v>12571</v>
      </c>
      <c r="X795" t="s">
        <v>74</v>
      </c>
      <c r="Y795" t="s">
        <v>12572</v>
      </c>
      <c r="Z795" t="s">
        <v>12573</v>
      </c>
      <c r="AA795" t="s">
        <v>74</v>
      </c>
      <c r="AB795" t="s">
        <v>74</v>
      </c>
      <c r="AC795" t="s">
        <v>74</v>
      </c>
      <c r="AD795" t="s">
        <v>74</v>
      </c>
      <c r="AE795" t="s">
        <v>74</v>
      </c>
      <c r="AF795" t="s">
        <v>74</v>
      </c>
      <c r="AG795">
        <v>10</v>
      </c>
      <c r="AH795">
        <v>7</v>
      </c>
      <c r="AI795">
        <v>7</v>
      </c>
      <c r="AJ795">
        <v>0</v>
      </c>
      <c r="AK795">
        <v>1</v>
      </c>
      <c r="AL795" t="s">
        <v>7809</v>
      </c>
      <c r="AM795" t="s">
        <v>7810</v>
      </c>
      <c r="AN795" t="s">
        <v>7811</v>
      </c>
      <c r="AO795" t="s">
        <v>8982</v>
      </c>
      <c r="AP795" t="s">
        <v>12574</v>
      </c>
      <c r="AQ795" t="s">
        <v>74</v>
      </c>
      <c r="AR795" t="s">
        <v>8983</v>
      </c>
      <c r="AS795" t="s">
        <v>8984</v>
      </c>
      <c r="AT795" t="s">
        <v>12165</v>
      </c>
      <c r="AU795">
        <v>2006</v>
      </c>
      <c r="AV795">
        <v>115</v>
      </c>
      <c r="AW795">
        <v>5</v>
      </c>
      <c r="AX795" t="s">
        <v>74</v>
      </c>
      <c r="AY795" t="s">
        <v>74</v>
      </c>
      <c r="AZ795" t="s">
        <v>74</v>
      </c>
      <c r="BA795" t="s">
        <v>74</v>
      </c>
      <c r="BB795">
        <v>607</v>
      </c>
      <c r="BC795">
        <v>613</v>
      </c>
      <c r="BD795" t="s">
        <v>74</v>
      </c>
      <c r="BE795" t="s">
        <v>12575</v>
      </c>
      <c r="BF795" t="str">
        <f>HYPERLINK("http://dx.doi.org/10.1007/BF02702913","http://dx.doi.org/10.1007/BF02702913")</f>
        <v>http://dx.doi.org/10.1007/BF02702913</v>
      </c>
      <c r="BG795" t="s">
        <v>74</v>
      </c>
      <c r="BH795" t="s">
        <v>74</v>
      </c>
      <c r="BI795">
        <v>7</v>
      </c>
      <c r="BJ795" t="s">
        <v>8986</v>
      </c>
      <c r="BK795" t="s">
        <v>97</v>
      </c>
      <c r="BL795" t="s">
        <v>8987</v>
      </c>
      <c r="BM795" t="s">
        <v>12576</v>
      </c>
      <c r="BN795" t="s">
        <v>74</v>
      </c>
      <c r="BO795" t="s">
        <v>124</v>
      </c>
      <c r="BP795" t="s">
        <v>74</v>
      </c>
      <c r="BQ795" t="s">
        <v>74</v>
      </c>
      <c r="BR795" t="s">
        <v>100</v>
      </c>
      <c r="BS795" t="s">
        <v>12577</v>
      </c>
      <c r="BT795" t="str">
        <f>HYPERLINK("https%3A%2F%2Fwww.webofscience.com%2Fwos%2Fwoscc%2Ffull-record%2FWOS:000242203400007","View Full Record in Web of Science")</f>
        <v>View Full Record in Web of Science</v>
      </c>
    </row>
    <row r="796" spans="1:72" x14ac:dyDescent="0.15">
      <c r="A796" t="s">
        <v>72</v>
      </c>
      <c r="B796" t="s">
        <v>12578</v>
      </c>
      <c r="C796" t="s">
        <v>74</v>
      </c>
      <c r="D796" t="s">
        <v>74</v>
      </c>
      <c r="E796" t="s">
        <v>74</v>
      </c>
      <c r="F796" t="s">
        <v>12579</v>
      </c>
      <c r="G796" t="s">
        <v>74</v>
      </c>
      <c r="H796" t="s">
        <v>74</v>
      </c>
      <c r="I796" t="s">
        <v>12580</v>
      </c>
      <c r="J796" t="s">
        <v>12581</v>
      </c>
      <c r="K796" t="s">
        <v>74</v>
      </c>
      <c r="L796" t="s">
        <v>74</v>
      </c>
      <c r="M796" t="s">
        <v>78</v>
      </c>
      <c r="N796" t="s">
        <v>79</v>
      </c>
      <c r="O796" t="s">
        <v>74</v>
      </c>
      <c r="P796" t="s">
        <v>74</v>
      </c>
      <c r="Q796" t="s">
        <v>74</v>
      </c>
      <c r="R796" t="s">
        <v>74</v>
      </c>
      <c r="S796" t="s">
        <v>74</v>
      </c>
      <c r="T796" t="s">
        <v>74</v>
      </c>
      <c r="U796" t="s">
        <v>12582</v>
      </c>
      <c r="V796" t="s">
        <v>12583</v>
      </c>
      <c r="W796" t="s">
        <v>12584</v>
      </c>
      <c r="X796" t="s">
        <v>12265</v>
      </c>
      <c r="Y796" t="s">
        <v>12585</v>
      </c>
      <c r="Z796" t="s">
        <v>12586</v>
      </c>
      <c r="AA796" t="s">
        <v>74</v>
      </c>
      <c r="AB796" t="s">
        <v>74</v>
      </c>
      <c r="AC796" t="s">
        <v>74</v>
      </c>
      <c r="AD796" t="s">
        <v>74</v>
      </c>
      <c r="AE796" t="s">
        <v>74</v>
      </c>
      <c r="AF796" t="s">
        <v>74</v>
      </c>
      <c r="AG796">
        <v>64</v>
      </c>
      <c r="AH796">
        <v>17</v>
      </c>
      <c r="AI796">
        <v>21</v>
      </c>
      <c r="AJ796">
        <v>0</v>
      </c>
      <c r="AK796">
        <v>7</v>
      </c>
      <c r="AL796" t="s">
        <v>12587</v>
      </c>
      <c r="AM796" t="s">
        <v>222</v>
      </c>
      <c r="AN796" t="s">
        <v>12588</v>
      </c>
      <c r="AO796" t="s">
        <v>12589</v>
      </c>
      <c r="AP796" t="s">
        <v>74</v>
      </c>
      <c r="AQ796" t="s">
        <v>74</v>
      </c>
      <c r="AR796" t="s">
        <v>12590</v>
      </c>
      <c r="AS796" t="s">
        <v>12591</v>
      </c>
      <c r="AT796" t="s">
        <v>12165</v>
      </c>
      <c r="AU796">
        <v>2006</v>
      </c>
      <c r="AV796">
        <v>36</v>
      </c>
      <c r="AW796">
        <v>4</v>
      </c>
      <c r="AX796" t="s">
        <v>74</v>
      </c>
      <c r="AY796" t="s">
        <v>74</v>
      </c>
      <c r="AZ796" t="s">
        <v>74</v>
      </c>
      <c r="BA796" t="s">
        <v>74</v>
      </c>
      <c r="BB796">
        <v>291</v>
      </c>
      <c r="BC796">
        <v>314</v>
      </c>
      <c r="BD796" t="s">
        <v>74</v>
      </c>
      <c r="BE796" t="s">
        <v>12592</v>
      </c>
      <c r="BF796" t="str">
        <f>HYPERLINK("http://dx.doi.org/10.2113/gsjfr.36.4.291","http://dx.doi.org/10.2113/gsjfr.36.4.291")</f>
        <v>http://dx.doi.org/10.2113/gsjfr.36.4.291</v>
      </c>
      <c r="BG796" t="s">
        <v>74</v>
      </c>
      <c r="BH796" t="s">
        <v>74</v>
      </c>
      <c r="BI796">
        <v>24</v>
      </c>
      <c r="BJ796" t="s">
        <v>4957</v>
      </c>
      <c r="BK796" t="s">
        <v>97</v>
      </c>
      <c r="BL796" t="s">
        <v>4957</v>
      </c>
      <c r="BM796" t="s">
        <v>12593</v>
      </c>
      <c r="BN796" t="s">
        <v>74</v>
      </c>
      <c r="BO796" t="s">
        <v>74</v>
      </c>
      <c r="BP796" t="s">
        <v>74</v>
      </c>
      <c r="BQ796" t="s">
        <v>74</v>
      </c>
      <c r="BR796" t="s">
        <v>100</v>
      </c>
      <c r="BS796" t="s">
        <v>12594</v>
      </c>
      <c r="BT796" t="str">
        <f>HYPERLINK("https%3A%2F%2Fwww.webofscience.com%2Fwos%2Fwoscc%2Ffull-record%2FWOS:000241715200002","View Full Record in Web of Science")</f>
        <v>View Full Record in Web of Science</v>
      </c>
    </row>
    <row r="797" spans="1:72" x14ac:dyDescent="0.15">
      <c r="A797" t="s">
        <v>72</v>
      </c>
      <c r="B797" t="s">
        <v>12595</v>
      </c>
      <c r="C797" t="s">
        <v>74</v>
      </c>
      <c r="D797" t="s">
        <v>74</v>
      </c>
      <c r="E797" t="s">
        <v>74</v>
      </c>
      <c r="F797" t="s">
        <v>12596</v>
      </c>
      <c r="G797" t="s">
        <v>74</v>
      </c>
      <c r="H797" t="s">
        <v>74</v>
      </c>
      <c r="I797" t="s">
        <v>12597</v>
      </c>
      <c r="J797" t="s">
        <v>12581</v>
      </c>
      <c r="K797" t="s">
        <v>74</v>
      </c>
      <c r="L797" t="s">
        <v>74</v>
      </c>
      <c r="M797" t="s">
        <v>78</v>
      </c>
      <c r="N797" t="s">
        <v>79</v>
      </c>
      <c r="O797" t="s">
        <v>74</v>
      </c>
      <c r="P797" t="s">
        <v>74</v>
      </c>
      <c r="Q797" t="s">
        <v>74</v>
      </c>
      <c r="R797" t="s">
        <v>74</v>
      </c>
      <c r="S797" t="s">
        <v>74</v>
      </c>
      <c r="T797" t="s">
        <v>74</v>
      </c>
      <c r="U797" t="s">
        <v>12598</v>
      </c>
      <c r="V797" t="s">
        <v>12599</v>
      </c>
      <c r="W797" t="s">
        <v>12600</v>
      </c>
      <c r="X797" t="s">
        <v>8586</v>
      </c>
      <c r="Y797" t="s">
        <v>12601</v>
      </c>
      <c r="Z797" t="s">
        <v>12602</v>
      </c>
      <c r="AA797" t="s">
        <v>12603</v>
      </c>
      <c r="AB797" t="s">
        <v>12604</v>
      </c>
      <c r="AC797" t="s">
        <v>74</v>
      </c>
      <c r="AD797" t="s">
        <v>74</v>
      </c>
      <c r="AE797" t="s">
        <v>74</v>
      </c>
      <c r="AF797" t="s">
        <v>74</v>
      </c>
      <c r="AG797">
        <v>76</v>
      </c>
      <c r="AH797">
        <v>20</v>
      </c>
      <c r="AI797">
        <v>21</v>
      </c>
      <c r="AJ797">
        <v>1</v>
      </c>
      <c r="AK797">
        <v>6</v>
      </c>
      <c r="AL797" t="s">
        <v>12605</v>
      </c>
      <c r="AM797" t="s">
        <v>3372</v>
      </c>
      <c r="AN797" t="s">
        <v>12606</v>
      </c>
      <c r="AO797" t="s">
        <v>12589</v>
      </c>
      <c r="AP797" t="s">
        <v>74</v>
      </c>
      <c r="AQ797" t="s">
        <v>74</v>
      </c>
      <c r="AR797" t="s">
        <v>12590</v>
      </c>
      <c r="AS797" t="s">
        <v>12591</v>
      </c>
      <c r="AT797" t="s">
        <v>12165</v>
      </c>
      <c r="AU797">
        <v>2006</v>
      </c>
      <c r="AV797">
        <v>36</v>
      </c>
      <c r="AW797">
        <v>4</v>
      </c>
      <c r="AX797" t="s">
        <v>74</v>
      </c>
      <c r="AY797" t="s">
        <v>74</v>
      </c>
      <c r="AZ797" t="s">
        <v>74</v>
      </c>
      <c r="BA797" t="s">
        <v>74</v>
      </c>
      <c r="BB797">
        <v>332</v>
      </c>
      <c r="BC797">
        <v>354</v>
      </c>
      <c r="BD797" t="s">
        <v>74</v>
      </c>
      <c r="BE797" t="s">
        <v>12607</v>
      </c>
      <c r="BF797" t="str">
        <f>HYPERLINK("http://dx.doi.org/10.2113/gsjfr.36.4.332","http://dx.doi.org/10.2113/gsjfr.36.4.332")</f>
        <v>http://dx.doi.org/10.2113/gsjfr.36.4.332</v>
      </c>
      <c r="BG797" t="s">
        <v>74</v>
      </c>
      <c r="BH797" t="s">
        <v>74</v>
      </c>
      <c r="BI797">
        <v>23</v>
      </c>
      <c r="BJ797" t="s">
        <v>4957</v>
      </c>
      <c r="BK797" t="s">
        <v>97</v>
      </c>
      <c r="BL797" t="s">
        <v>4957</v>
      </c>
      <c r="BM797" t="s">
        <v>12593</v>
      </c>
      <c r="BN797" t="s">
        <v>74</v>
      </c>
      <c r="BO797" t="s">
        <v>74</v>
      </c>
      <c r="BP797" t="s">
        <v>74</v>
      </c>
      <c r="BQ797" t="s">
        <v>74</v>
      </c>
      <c r="BR797" t="s">
        <v>100</v>
      </c>
      <c r="BS797" t="s">
        <v>12608</v>
      </c>
      <c r="BT797" t="str">
        <f>HYPERLINK("https%3A%2F%2Fwww.webofscience.com%2Fwos%2Fwoscc%2Ffull-record%2FWOS:000241715200004","View Full Record in Web of Science")</f>
        <v>View Full Record in Web of Science</v>
      </c>
    </row>
    <row r="798" spans="1:72" x14ac:dyDescent="0.15">
      <c r="A798" t="s">
        <v>72</v>
      </c>
      <c r="B798" t="s">
        <v>12609</v>
      </c>
      <c r="C798" t="s">
        <v>74</v>
      </c>
      <c r="D798" t="s">
        <v>74</v>
      </c>
      <c r="E798" t="s">
        <v>74</v>
      </c>
      <c r="F798" t="s">
        <v>12610</v>
      </c>
      <c r="G798" t="s">
        <v>74</v>
      </c>
      <c r="H798" t="s">
        <v>74</v>
      </c>
      <c r="I798" t="s">
        <v>12611</v>
      </c>
      <c r="J798" t="s">
        <v>12612</v>
      </c>
      <c r="K798" t="s">
        <v>74</v>
      </c>
      <c r="L798" t="s">
        <v>74</v>
      </c>
      <c r="M798" t="s">
        <v>78</v>
      </c>
      <c r="N798" t="s">
        <v>79</v>
      </c>
      <c r="O798" t="s">
        <v>74</v>
      </c>
      <c r="P798" t="s">
        <v>74</v>
      </c>
      <c r="Q798" t="s">
        <v>74</v>
      </c>
      <c r="R798" t="s">
        <v>74</v>
      </c>
      <c r="S798" t="s">
        <v>74</v>
      </c>
      <c r="T798" t="s">
        <v>74</v>
      </c>
      <c r="U798" t="s">
        <v>12613</v>
      </c>
      <c r="V798" t="s">
        <v>12614</v>
      </c>
      <c r="W798" t="s">
        <v>12615</v>
      </c>
      <c r="X798" t="s">
        <v>12616</v>
      </c>
      <c r="Y798" t="s">
        <v>12617</v>
      </c>
      <c r="Z798" t="s">
        <v>12618</v>
      </c>
      <c r="AA798" t="s">
        <v>12619</v>
      </c>
      <c r="AB798" t="s">
        <v>12620</v>
      </c>
      <c r="AC798" t="s">
        <v>9094</v>
      </c>
      <c r="AD798" t="s">
        <v>1254</v>
      </c>
      <c r="AE798" t="s">
        <v>74</v>
      </c>
      <c r="AF798" t="s">
        <v>74</v>
      </c>
      <c r="AG798">
        <v>38</v>
      </c>
      <c r="AH798">
        <v>13</v>
      </c>
      <c r="AI798">
        <v>15</v>
      </c>
      <c r="AJ798">
        <v>0</v>
      </c>
      <c r="AK798">
        <v>10</v>
      </c>
      <c r="AL798" t="s">
        <v>4064</v>
      </c>
      <c r="AM798" t="s">
        <v>4065</v>
      </c>
      <c r="AN798" t="s">
        <v>4097</v>
      </c>
      <c r="AO798" t="s">
        <v>12621</v>
      </c>
      <c r="AP798" t="s">
        <v>12622</v>
      </c>
      <c r="AQ798" t="s">
        <v>74</v>
      </c>
      <c r="AR798" t="s">
        <v>12623</v>
      </c>
      <c r="AS798" t="s">
        <v>12624</v>
      </c>
      <c r="AT798" t="s">
        <v>12165</v>
      </c>
      <c r="AU798">
        <v>2006</v>
      </c>
      <c r="AV798">
        <v>7</v>
      </c>
      <c r="AW798">
        <v>5</v>
      </c>
      <c r="AX798" t="s">
        <v>74</v>
      </c>
      <c r="AY798" t="s">
        <v>74</v>
      </c>
      <c r="AZ798" t="s">
        <v>74</v>
      </c>
      <c r="BA798" t="s">
        <v>74</v>
      </c>
      <c r="BB798">
        <v>880</v>
      </c>
      <c r="BC798">
        <v>895</v>
      </c>
      <c r="BD798" t="s">
        <v>74</v>
      </c>
      <c r="BE798" t="s">
        <v>12625</v>
      </c>
      <c r="BF798" t="str">
        <f>HYPERLINK("http://dx.doi.org/10.1175/JHM528.1","http://dx.doi.org/10.1175/JHM528.1")</f>
        <v>http://dx.doi.org/10.1175/JHM528.1</v>
      </c>
      <c r="BG798" t="s">
        <v>74</v>
      </c>
      <c r="BH798" t="s">
        <v>74</v>
      </c>
      <c r="BI798">
        <v>16</v>
      </c>
      <c r="BJ798" t="s">
        <v>3208</v>
      </c>
      <c r="BK798" t="s">
        <v>97</v>
      </c>
      <c r="BL798" t="s">
        <v>3208</v>
      </c>
      <c r="BM798" t="s">
        <v>12626</v>
      </c>
      <c r="BN798" t="s">
        <v>74</v>
      </c>
      <c r="BO798" t="s">
        <v>2155</v>
      </c>
      <c r="BP798" t="s">
        <v>74</v>
      </c>
      <c r="BQ798" t="s">
        <v>74</v>
      </c>
      <c r="BR798" t="s">
        <v>100</v>
      </c>
      <c r="BS798" t="s">
        <v>12627</v>
      </c>
      <c r="BT798" t="str">
        <f>HYPERLINK("https%3A%2F%2Fwww.webofscience.com%2Fwos%2Fwoscc%2Ffull-record%2FWOS:000241755800004","View Full Record in Web of Science")</f>
        <v>View Full Record in Web of Science</v>
      </c>
    </row>
    <row r="799" spans="1:72" x14ac:dyDescent="0.15">
      <c r="A799" t="s">
        <v>72</v>
      </c>
      <c r="B799" t="s">
        <v>12628</v>
      </c>
      <c r="C799" t="s">
        <v>74</v>
      </c>
      <c r="D799" t="s">
        <v>74</v>
      </c>
      <c r="E799" t="s">
        <v>74</v>
      </c>
      <c r="F799" t="s">
        <v>12629</v>
      </c>
      <c r="G799" t="s">
        <v>74</v>
      </c>
      <c r="H799" t="s">
        <v>74</v>
      </c>
      <c r="I799" t="s">
        <v>12630</v>
      </c>
      <c r="J799" t="s">
        <v>12631</v>
      </c>
      <c r="K799" t="s">
        <v>74</v>
      </c>
      <c r="L799" t="s">
        <v>74</v>
      </c>
      <c r="M799" t="s">
        <v>78</v>
      </c>
      <c r="N799" t="s">
        <v>79</v>
      </c>
      <c r="O799" t="s">
        <v>74</v>
      </c>
      <c r="P799" t="s">
        <v>74</v>
      </c>
      <c r="Q799" t="s">
        <v>74</v>
      </c>
      <c r="R799" t="s">
        <v>74</v>
      </c>
      <c r="S799" t="s">
        <v>74</v>
      </c>
      <c r="T799" t="s">
        <v>12632</v>
      </c>
      <c r="U799" t="s">
        <v>12633</v>
      </c>
      <c r="V799" t="s">
        <v>12634</v>
      </c>
      <c r="W799" t="s">
        <v>12635</v>
      </c>
      <c r="X799" t="s">
        <v>12636</v>
      </c>
      <c r="Y799" t="s">
        <v>12637</v>
      </c>
      <c r="Z799" t="s">
        <v>12638</v>
      </c>
      <c r="AA799" t="s">
        <v>12639</v>
      </c>
      <c r="AB799" t="s">
        <v>12640</v>
      </c>
      <c r="AC799" t="s">
        <v>74</v>
      </c>
      <c r="AD799" t="s">
        <v>74</v>
      </c>
      <c r="AE799" t="s">
        <v>74</v>
      </c>
      <c r="AF799" t="s">
        <v>74</v>
      </c>
      <c r="AG799">
        <v>20</v>
      </c>
      <c r="AH799">
        <v>30</v>
      </c>
      <c r="AI799">
        <v>40</v>
      </c>
      <c r="AJ799">
        <v>0</v>
      </c>
      <c r="AK799">
        <v>11</v>
      </c>
      <c r="AL799" t="s">
        <v>12641</v>
      </c>
      <c r="AM799" t="s">
        <v>8306</v>
      </c>
      <c r="AN799" t="s">
        <v>12642</v>
      </c>
      <c r="AO799" t="s">
        <v>12643</v>
      </c>
      <c r="AP799" t="s">
        <v>12644</v>
      </c>
      <c r="AQ799" t="s">
        <v>74</v>
      </c>
      <c r="AR799" t="s">
        <v>12645</v>
      </c>
      <c r="AS799" t="s">
        <v>12646</v>
      </c>
      <c r="AT799" t="s">
        <v>12165</v>
      </c>
      <c r="AU799">
        <v>2006</v>
      </c>
      <c r="AV799">
        <v>44</v>
      </c>
      <c r="AW799">
        <v>5</v>
      </c>
      <c r="AX799" t="s">
        <v>74</v>
      </c>
      <c r="AY799" t="s">
        <v>74</v>
      </c>
      <c r="AZ799" t="s">
        <v>74</v>
      </c>
      <c r="BA799" t="s">
        <v>74</v>
      </c>
      <c r="BB799">
        <v>480</v>
      </c>
      <c r="BC799">
        <v>491</v>
      </c>
      <c r="BD799" t="s">
        <v>74</v>
      </c>
      <c r="BE799" t="s">
        <v>74</v>
      </c>
      <c r="BF799" t="s">
        <v>74</v>
      </c>
      <c r="BG799" t="s">
        <v>74</v>
      </c>
      <c r="BH799" t="s">
        <v>74</v>
      </c>
      <c r="BI799">
        <v>12</v>
      </c>
      <c r="BJ799" t="s">
        <v>2384</v>
      </c>
      <c r="BK799" t="s">
        <v>97</v>
      </c>
      <c r="BL799" t="s">
        <v>2384</v>
      </c>
      <c r="BM799" t="s">
        <v>12647</v>
      </c>
      <c r="BN799">
        <v>17082741</v>
      </c>
      <c r="BO799" t="s">
        <v>74</v>
      </c>
      <c r="BP799" t="s">
        <v>74</v>
      </c>
      <c r="BQ799" t="s">
        <v>74</v>
      </c>
      <c r="BR799" t="s">
        <v>100</v>
      </c>
      <c r="BS799" t="s">
        <v>12648</v>
      </c>
      <c r="BT799" t="str">
        <f>HYPERLINK("https%3A%2F%2Fwww.webofscience.com%2Fwos%2Fwoscc%2Ffull-record%2FWOS:000241716900002","View Full Record in Web of Science")</f>
        <v>View Full Record in Web of Science</v>
      </c>
    </row>
    <row r="800" spans="1:72" x14ac:dyDescent="0.15">
      <c r="A800" t="s">
        <v>72</v>
      </c>
      <c r="B800" t="s">
        <v>12649</v>
      </c>
      <c r="C800" t="s">
        <v>74</v>
      </c>
      <c r="D800" t="s">
        <v>74</v>
      </c>
      <c r="E800" t="s">
        <v>74</v>
      </c>
      <c r="F800" t="s">
        <v>12650</v>
      </c>
      <c r="G800" t="s">
        <v>74</v>
      </c>
      <c r="H800" t="s">
        <v>74</v>
      </c>
      <c r="I800" t="s">
        <v>12651</v>
      </c>
      <c r="J800" t="s">
        <v>12652</v>
      </c>
      <c r="K800" t="s">
        <v>74</v>
      </c>
      <c r="L800" t="s">
        <v>74</v>
      </c>
      <c r="M800" t="s">
        <v>78</v>
      </c>
      <c r="N800" t="s">
        <v>79</v>
      </c>
      <c r="O800" t="s">
        <v>74</v>
      </c>
      <c r="P800" t="s">
        <v>74</v>
      </c>
      <c r="Q800" t="s">
        <v>74</v>
      </c>
      <c r="R800" t="s">
        <v>74</v>
      </c>
      <c r="S800" t="s">
        <v>74</v>
      </c>
      <c r="T800" t="s">
        <v>12653</v>
      </c>
      <c r="U800" t="s">
        <v>12654</v>
      </c>
      <c r="V800" t="s">
        <v>12655</v>
      </c>
      <c r="W800" t="s">
        <v>12656</v>
      </c>
      <c r="X800" t="s">
        <v>12657</v>
      </c>
      <c r="Y800" t="s">
        <v>12658</v>
      </c>
      <c r="Z800" t="s">
        <v>12659</v>
      </c>
      <c r="AA800" t="s">
        <v>12660</v>
      </c>
      <c r="AB800" t="s">
        <v>12661</v>
      </c>
      <c r="AC800" t="s">
        <v>74</v>
      </c>
      <c r="AD800" t="s">
        <v>74</v>
      </c>
      <c r="AE800" t="s">
        <v>74</v>
      </c>
      <c r="AF800" t="s">
        <v>74</v>
      </c>
      <c r="AG800">
        <v>19</v>
      </c>
      <c r="AH800">
        <v>47</v>
      </c>
      <c r="AI800">
        <v>59</v>
      </c>
      <c r="AJ800">
        <v>2</v>
      </c>
      <c r="AK800">
        <v>16</v>
      </c>
      <c r="AL800" t="s">
        <v>2147</v>
      </c>
      <c r="AM800" t="s">
        <v>2148</v>
      </c>
      <c r="AN800" t="s">
        <v>2149</v>
      </c>
      <c r="AO800" t="s">
        <v>12662</v>
      </c>
      <c r="AP800" t="s">
        <v>74</v>
      </c>
      <c r="AQ800" t="s">
        <v>74</v>
      </c>
      <c r="AR800" t="s">
        <v>12663</v>
      </c>
      <c r="AS800" t="s">
        <v>12664</v>
      </c>
      <c r="AT800" t="s">
        <v>12165</v>
      </c>
      <c r="AU800">
        <v>2006</v>
      </c>
      <c r="AV800">
        <v>62</v>
      </c>
      <c r="AW800">
        <v>5</v>
      </c>
      <c r="AX800" t="s">
        <v>74</v>
      </c>
      <c r="AY800" t="s">
        <v>74</v>
      </c>
      <c r="AZ800" t="s">
        <v>74</v>
      </c>
      <c r="BA800" t="s">
        <v>74</v>
      </c>
      <c r="BB800">
        <v>649</v>
      </c>
      <c r="BC800">
        <v>655</v>
      </c>
      <c r="BD800" t="s">
        <v>74</v>
      </c>
      <c r="BE800" t="s">
        <v>12665</v>
      </c>
      <c r="BF800" t="str">
        <f>HYPERLINK("http://dx.doi.org/10.1007/s10872-006-0083-1","http://dx.doi.org/10.1007/s10872-006-0083-1")</f>
        <v>http://dx.doi.org/10.1007/s10872-006-0083-1</v>
      </c>
      <c r="BG800" t="s">
        <v>74</v>
      </c>
      <c r="BH800" t="s">
        <v>74</v>
      </c>
      <c r="BI800">
        <v>7</v>
      </c>
      <c r="BJ800" t="s">
        <v>1260</v>
      </c>
      <c r="BK800" t="s">
        <v>97</v>
      </c>
      <c r="BL800" t="s">
        <v>1260</v>
      </c>
      <c r="BM800" t="s">
        <v>12666</v>
      </c>
      <c r="BN800" t="s">
        <v>74</v>
      </c>
      <c r="BO800" t="s">
        <v>74</v>
      </c>
      <c r="BP800" t="s">
        <v>74</v>
      </c>
      <c r="BQ800" t="s">
        <v>74</v>
      </c>
      <c r="BR800" t="s">
        <v>100</v>
      </c>
      <c r="BS800" t="s">
        <v>12667</v>
      </c>
      <c r="BT800" t="str">
        <f>HYPERLINK("https%3A%2F%2Fwww.webofscience.com%2Fwos%2Fwoscc%2Ffull-record%2FWOS:000240203100005","View Full Record in Web of Science")</f>
        <v>View Full Record in Web of Science</v>
      </c>
    </row>
    <row r="801" spans="1:72" x14ac:dyDescent="0.15">
      <c r="A801" t="s">
        <v>72</v>
      </c>
      <c r="B801" t="s">
        <v>12668</v>
      </c>
      <c r="C801" t="s">
        <v>74</v>
      </c>
      <c r="D801" t="s">
        <v>74</v>
      </c>
      <c r="E801" t="s">
        <v>74</v>
      </c>
      <c r="F801" t="s">
        <v>12669</v>
      </c>
      <c r="G801" t="s">
        <v>74</v>
      </c>
      <c r="H801" t="s">
        <v>74</v>
      </c>
      <c r="I801" t="s">
        <v>12670</v>
      </c>
      <c r="J801" t="s">
        <v>12652</v>
      </c>
      <c r="K801" t="s">
        <v>74</v>
      </c>
      <c r="L801" t="s">
        <v>74</v>
      </c>
      <c r="M801" t="s">
        <v>78</v>
      </c>
      <c r="N801" t="s">
        <v>79</v>
      </c>
      <c r="O801" t="s">
        <v>74</v>
      </c>
      <c r="P801" t="s">
        <v>74</v>
      </c>
      <c r="Q801" t="s">
        <v>74</v>
      </c>
      <c r="R801" t="s">
        <v>74</v>
      </c>
      <c r="S801" t="s">
        <v>74</v>
      </c>
      <c r="T801" t="s">
        <v>12671</v>
      </c>
      <c r="U801" t="s">
        <v>12672</v>
      </c>
      <c r="V801" t="s">
        <v>12673</v>
      </c>
      <c r="W801" t="s">
        <v>12674</v>
      </c>
      <c r="X801" t="s">
        <v>12675</v>
      </c>
      <c r="Y801" t="s">
        <v>12676</v>
      </c>
      <c r="Z801" t="s">
        <v>12677</v>
      </c>
      <c r="AA801" t="s">
        <v>74</v>
      </c>
      <c r="AB801" t="s">
        <v>74</v>
      </c>
      <c r="AC801" t="s">
        <v>74</v>
      </c>
      <c r="AD801" t="s">
        <v>74</v>
      </c>
      <c r="AE801" t="s">
        <v>74</v>
      </c>
      <c r="AF801" t="s">
        <v>74</v>
      </c>
      <c r="AG801">
        <v>31</v>
      </c>
      <c r="AH801">
        <v>20</v>
      </c>
      <c r="AI801">
        <v>23</v>
      </c>
      <c r="AJ801">
        <v>0</v>
      </c>
      <c r="AK801">
        <v>11</v>
      </c>
      <c r="AL801" t="s">
        <v>2147</v>
      </c>
      <c r="AM801" t="s">
        <v>2148</v>
      </c>
      <c r="AN801" t="s">
        <v>2149</v>
      </c>
      <c r="AO801" t="s">
        <v>12662</v>
      </c>
      <c r="AP801" t="s">
        <v>74</v>
      </c>
      <c r="AQ801" t="s">
        <v>74</v>
      </c>
      <c r="AR801" t="s">
        <v>12663</v>
      </c>
      <c r="AS801" t="s">
        <v>12664</v>
      </c>
      <c r="AT801" t="s">
        <v>12165</v>
      </c>
      <c r="AU801">
        <v>2006</v>
      </c>
      <c r="AV801">
        <v>62</v>
      </c>
      <c r="AW801">
        <v>5</v>
      </c>
      <c r="AX801" t="s">
        <v>74</v>
      </c>
      <c r="AY801" t="s">
        <v>74</v>
      </c>
      <c r="AZ801" t="s">
        <v>74</v>
      </c>
      <c r="BA801" t="s">
        <v>74</v>
      </c>
      <c r="BB801">
        <v>693</v>
      </c>
      <c r="BC801">
        <v>703</v>
      </c>
      <c r="BD801" t="s">
        <v>74</v>
      </c>
      <c r="BE801" t="s">
        <v>12678</v>
      </c>
      <c r="BF801" t="str">
        <f>HYPERLINK("http://dx.doi.org/10.1007/s10872-006-0087-x","http://dx.doi.org/10.1007/s10872-006-0087-x")</f>
        <v>http://dx.doi.org/10.1007/s10872-006-0087-x</v>
      </c>
      <c r="BG801" t="s">
        <v>74</v>
      </c>
      <c r="BH801" t="s">
        <v>74</v>
      </c>
      <c r="BI801">
        <v>11</v>
      </c>
      <c r="BJ801" t="s">
        <v>1260</v>
      </c>
      <c r="BK801" t="s">
        <v>97</v>
      </c>
      <c r="BL801" t="s">
        <v>1260</v>
      </c>
      <c r="BM801" t="s">
        <v>12666</v>
      </c>
      <c r="BN801" t="s">
        <v>74</v>
      </c>
      <c r="BO801" t="s">
        <v>74</v>
      </c>
      <c r="BP801" t="s">
        <v>74</v>
      </c>
      <c r="BQ801" t="s">
        <v>74</v>
      </c>
      <c r="BR801" t="s">
        <v>100</v>
      </c>
      <c r="BS801" t="s">
        <v>12679</v>
      </c>
      <c r="BT801" t="str">
        <f>HYPERLINK("https%3A%2F%2Fwww.webofscience.com%2Fwos%2Fwoscc%2Ffull-record%2FWOS:000240203100009","View Full Record in Web of Science")</f>
        <v>View Full Record in Web of Science</v>
      </c>
    </row>
    <row r="802" spans="1:72" x14ac:dyDescent="0.15">
      <c r="A802" t="s">
        <v>72</v>
      </c>
      <c r="B802" t="s">
        <v>12680</v>
      </c>
      <c r="C802" t="s">
        <v>74</v>
      </c>
      <c r="D802" t="s">
        <v>74</v>
      </c>
      <c r="E802" t="s">
        <v>74</v>
      </c>
      <c r="F802" t="s">
        <v>12681</v>
      </c>
      <c r="G802" t="s">
        <v>74</v>
      </c>
      <c r="H802" t="s">
        <v>74</v>
      </c>
      <c r="I802" t="s">
        <v>12682</v>
      </c>
      <c r="J802" t="s">
        <v>4055</v>
      </c>
      <c r="K802" t="s">
        <v>74</v>
      </c>
      <c r="L802" t="s">
        <v>74</v>
      </c>
      <c r="M802" t="s">
        <v>78</v>
      </c>
      <c r="N802" t="s">
        <v>79</v>
      </c>
      <c r="O802" t="s">
        <v>74</v>
      </c>
      <c r="P802" t="s">
        <v>74</v>
      </c>
      <c r="Q802" t="s">
        <v>74</v>
      </c>
      <c r="R802" t="s">
        <v>74</v>
      </c>
      <c r="S802" t="s">
        <v>74</v>
      </c>
      <c r="T802" t="s">
        <v>74</v>
      </c>
      <c r="U802" t="s">
        <v>12683</v>
      </c>
      <c r="V802" t="s">
        <v>12684</v>
      </c>
      <c r="W802" t="s">
        <v>1867</v>
      </c>
      <c r="X802" t="s">
        <v>1868</v>
      </c>
      <c r="Y802" t="s">
        <v>12685</v>
      </c>
      <c r="Z802" t="s">
        <v>12686</v>
      </c>
      <c r="AA802" t="s">
        <v>12687</v>
      </c>
      <c r="AB802" t="s">
        <v>12688</v>
      </c>
      <c r="AC802" t="s">
        <v>74</v>
      </c>
      <c r="AD802" t="s">
        <v>74</v>
      </c>
      <c r="AE802" t="s">
        <v>74</v>
      </c>
      <c r="AF802" t="s">
        <v>74</v>
      </c>
      <c r="AG802">
        <v>31</v>
      </c>
      <c r="AH802">
        <v>24</v>
      </c>
      <c r="AI802">
        <v>26</v>
      </c>
      <c r="AJ802">
        <v>0</v>
      </c>
      <c r="AK802">
        <v>8</v>
      </c>
      <c r="AL802" t="s">
        <v>4064</v>
      </c>
      <c r="AM802" t="s">
        <v>4065</v>
      </c>
      <c r="AN802" t="s">
        <v>4097</v>
      </c>
      <c r="AO802" t="s">
        <v>4067</v>
      </c>
      <c r="AP802" t="s">
        <v>4068</v>
      </c>
      <c r="AQ802" t="s">
        <v>74</v>
      </c>
      <c r="AR802" t="s">
        <v>4069</v>
      </c>
      <c r="AS802" t="s">
        <v>4070</v>
      </c>
      <c r="AT802" t="s">
        <v>12165</v>
      </c>
      <c r="AU802">
        <v>2006</v>
      </c>
      <c r="AV802">
        <v>36</v>
      </c>
      <c r="AW802">
        <v>10</v>
      </c>
      <c r="AX802" t="s">
        <v>74</v>
      </c>
      <c r="AY802" t="s">
        <v>74</v>
      </c>
      <c r="AZ802" t="s">
        <v>74</v>
      </c>
      <c r="BA802" t="s">
        <v>74</v>
      </c>
      <c r="BB802">
        <v>1877</v>
      </c>
      <c r="BC802">
        <v>1894</v>
      </c>
      <c r="BD802" t="s">
        <v>74</v>
      </c>
      <c r="BE802" t="s">
        <v>12689</v>
      </c>
      <c r="BF802" t="str">
        <f>HYPERLINK("http://dx.doi.org/10.1175/JPO2947.1","http://dx.doi.org/10.1175/JPO2947.1")</f>
        <v>http://dx.doi.org/10.1175/JPO2947.1</v>
      </c>
      <c r="BG802" t="s">
        <v>74</v>
      </c>
      <c r="BH802" t="s">
        <v>74</v>
      </c>
      <c r="BI802">
        <v>18</v>
      </c>
      <c r="BJ802" t="s">
        <v>1260</v>
      </c>
      <c r="BK802" t="s">
        <v>97</v>
      </c>
      <c r="BL802" t="s">
        <v>1260</v>
      </c>
      <c r="BM802" t="s">
        <v>12690</v>
      </c>
      <c r="BN802" t="s">
        <v>74</v>
      </c>
      <c r="BO802" t="s">
        <v>124</v>
      </c>
      <c r="BP802" t="s">
        <v>74</v>
      </c>
      <c r="BQ802" t="s">
        <v>74</v>
      </c>
      <c r="BR802" t="s">
        <v>100</v>
      </c>
      <c r="BS802" t="s">
        <v>12691</v>
      </c>
      <c r="BT802" t="str">
        <f>HYPERLINK("https%3A%2F%2Fwww.webofscience.com%2Fwos%2Fwoscc%2Ffull-record%2FWOS:000241559000001","View Full Record in Web of Science")</f>
        <v>View Full Record in Web of Science</v>
      </c>
    </row>
    <row r="803" spans="1:72" x14ac:dyDescent="0.15">
      <c r="A803" t="s">
        <v>72</v>
      </c>
      <c r="B803" t="s">
        <v>12692</v>
      </c>
      <c r="C803" t="s">
        <v>74</v>
      </c>
      <c r="D803" t="s">
        <v>74</v>
      </c>
      <c r="E803" t="s">
        <v>74</v>
      </c>
      <c r="F803" t="s">
        <v>12693</v>
      </c>
      <c r="G803" t="s">
        <v>74</v>
      </c>
      <c r="H803" t="s">
        <v>74</v>
      </c>
      <c r="I803" t="s">
        <v>12694</v>
      </c>
      <c r="J803" t="s">
        <v>9100</v>
      </c>
      <c r="K803" t="s">
        <v>74</v>
      </c>
      <c r="L803" t="s">
        <v>74</v>
      </c>
      <c r="M803" t="s">
        <v>78</v>
      </c>
      <c r="N803" t="s">
        <v>79</v>
      </c>
      <c r="O803" t="s">
        <v>74</v>
      </c>
      <c r="P803" t="s">
        <v>74</v>
      </c>
      <c r="Q803" t="s">
        <v>74</v>
      </c>
      <c r="R803" t="s">
        <v>74</v>
      </c>
      <c r="S803" t="s">
        <v>74</v>
      </c>
      <c r="T803" t="s">
        <v>74</v>
      </c>
      <c r="U803" t="s">
        <v>12695</v>
      </c>
      <c r="V803" t="s">
        <v>12696</v>
      </c>
      <c r="W803" t="s">
        <v>12697</v>
      </c>
      <c r="X803" t="s">
        <v>12698</v>
      </c>
      <c r="Y803" t="s">
        <v>12699</v>
      </c>
      <c r="Z803" t="s">
        <v>12700</v>
      </c>
      <c r="AA803" t="s">
        <v>12701</v>
      </c>
      <c r="AB803" t="s">
        <v>12702</v>
      </c>
      <c r="AC803" t="s">
        <v>74</v>
      </c>
      <c r="AD803" t="s">
        <v>74</v>
      </c>
      <c r="AE803" t="s">
        <v>74</v>
      </c>
      <c r="AF803" t="s">
        <v>74</v>
      </c>
      <c r="AG803">
        <v>17</v>
      </c>
      <c r="AH803">
        <v>2</v>
      </c>
      <c r="AI803">
        <v>2</v>
      </c>
      <c r="AJ803">
        <v>0</v>
      </c>
      <c r="AK803">
        <v>3</v>
      </c>
      <c r="AL803" t="s">
        <v>2467</v>
      </c>
      <c r="AM803" t="s">
        <v>818</v>
      </c>
      <c r="AN803" t="s">
        <v>2468</v>
      </c>
      <c r="AO803" t="s">
        <v>9109</v>
      </c>
      <c r="AP803" t="s">
        <v>74</v>
      </c>
      <c r="AQ803" t="s">
        <v>74</v>
      </c>
      <c r="AR803" t="s">
        <v>9111</v>
      </c>
      <c r="AS803" t="s">
        <v>9112</v>
      </c>
      <c r="AT803" t="s">
        <v>12165</v>
      </c>
      <c r="AU803">
        <v>2006</v>
      </c>
      <c r="AV803">
        <v>28</v>
      </c>
      <c r="AW803">
        <v>10</v>
      </c>
      <c r="AX803" t="s">
        <v>74</v>
      </c>
      <c r="AY803" t="s">
        <v>74</v>
      </c>
      <c r="AZ803" t="s">
        <v>74</v>
      </c>
      <c r="BA803" t="s">
        <v>74</v>
      </c>
      <c r="BB803">
        <v>959</v>
      </c>
      <c r="BC803">
        <v>963</v>
      </c>
      <c r="BD803" t="s">
        <v>74</v>
      </c>
      <c r="BE803" t="s">
        <v>12703</v>
      </c>
      <c r="BF803" t="str">
        <f>HYPERLINK("http://dx.doi.org/10.1093/plankt/fbl025","http://dx.doi.org/10.1093/plankt/fbl025")</f>
        <v>http://dx.doi.org/10.1093/plankt/fbl025</v>
      </c>
      <c r="BG803" t="s">
        <v>74</v>
      </c>
      <c r="BH803" t="s">
        <v>74</v>
      </c>
      <c r="BI803">
        <v>5</v>
      </c>
      <c r="BJ803" t="s">
        <v>4206</v>
      </c>
      <c r="BK803" t="s">
        <v>97</v>
      </c>
      <c r="BL803" t="s">
        <v>4206</v>
      </c>
      <c r="BM803" t="s">
        <v>12704</v>
      </c>
      <c r="BN803" t="s">
        <v>74</v>
      </c>
      <c r="BO803" t="s">
        <v>7472</v>
      </c>
      <c r="BP803" t="s">
        <v>74</v>
      </c>
      <c r="BQ803" t="s">
        <v>74</v>
      </c>
      <c r="BR803" t="s">
        <v>100</v>
      </c>
      <c r="BS803" t="s">
        <v>12705</v>
      </c>
      <c r="BT803" t="str">
        <f>HYPERLINK("https%3A%2F%2Fwww.webofscience.com%2Fwos%2Fwoscc%2Ffull-record%2FWOS:000240931000007","View Full Record in Web of Science")</f>
        <v>View Full Record in Web of Science</v>
      </c>
    </row>
    <row r="804" spans="1:72" x14ac:dyDescent="0.15">
      <c r="A804" t="s">
        <v>72</v>
      </c>
      <c r="B804" t="s">
        <v>12706</v>
      </c>
      <c r="C804" t="s">
        <v>74</v>
      </c>
      <c r="D804" t="s">
        <v>74</v>
      </c>
      <c r="E804" t="s">
        <v>74</v>
      </c>
      <c r="F804" t="s">
        <v>12707</v>
      </c>
      <c r="G804" t="s">
        <v>74</v>
      </c>
      <c r="H804" t="s">
        <v>74</v>
      </c>
      <c r="I804" t="s">
        <v>12708</v>
      </c>
      <c r="J804" t="s">
        <v>4104</v>
      </c>
      <c r="K804" t="s">
        <v>74</v>
      </c>
      <c r="L804" t="s">
        <v>74</v>
      </c>
      <c r="M804" t="s">
        <v>78</v>
      </c>
      <c r="N804" t="s">
        <v>79</v>
      </c>
      <c r="O804" t="s">
        <v>74</v>
      </c>
      <c r="P804" t="s">
        <v>74</v>
      </c>
      <c r="Q804" t="s">
        <v>74</v>
      </c>
      <c r="R804" t="s">
        <v>74</v>
      </c>
      <c r="S804" t="s">
        <v>74</v>
      </c>
      <c r="T804" t="s">
        <v>12709</v>
      </c>
      <c r="U804" t="s">
        <v>12710</v>
      </c>
      <c r="V804" t="s">
        <v>12711</v>
      </c>
      <c r="W804" t="s">
        <v>12712</v>
      </c>
      <c r="X804" t="s">
        <v>12713</v>
      </c>
      <c r="Y804" t="s">
        <v>12714</v>
      </c>
      <c r="Z804" t="s">
        <v>12715</v>
      </c>
      <c r="AA804" t="s">
        <v>12716</v>
      </c>
      <c r="AB804" t="s">
        <v>12717</v>
      </c>
      <c r="AC804" t="s">
        <v>74</v>
      </c>
      <c r="AD804" t="s">
        <v>74</v>
      </c>
      <c r="AE804" t="s">
        <v>74</v>
      </c>
      <c r="AF804" t="s">
        <v>74</v>
      </c>
      <c r="AG804">
        <v>77</v>
      </c>
      <c r="AH804">
        <v>69</v>
      </c>
      <c r="AI804">
        <v>73</v>
      </c>
      <c r="AJ804">
        <v>1</v>
      </c>
      <c r="AK804">
        <v>25</v>
      </c>
      <c r="AL804" t="s">
        <v>159</v>
      </c>
      <c r="AM804" t="s">
        <v>160</v>
      </c>
      <c r="AN804" t="s">
        <v>161</v>
      </c>
      <c r="AO804" t="s">
        <v>4114</v>
      </c>
      <c r="AP804" t="s">
        <v>4115</v>
      </c>
      <c r="AQ804" t="s">
        <v>74</v>
      </c>
      <c r="AR804" t="s">
        <v>4116</v>
      </c>
      <c r="AS804" t="s">
        <v>4117</v>
      </c>
      <c r="AT804" t="s">
        <v>12165</v>
      </c>
      <c r="AU804">
        <v>2006</v>
      </c>
      <c r="AV804">
        <v>21</v>
      </c>
      <c r="AW804">
        <v>7</v>
      </c>
      <c r="AX804" t="s">
        <v>74</v>
      </c>
      <c r="AY804" t="s">
        <v>74</v>
      </c>
      <c r="AZ804" t="s">
        <v>74</v>
      </c>
      <c r="BA804" t="s">
        <v>74</v>
      </c>
      <c r="BB804">
        <v>751</v>
      </c>
      <c r="BC804">
        <v>761</v>
      </c>
      <c r="BD804" t="s">
        <v>74</v>
      </c>
      <c r="BE804" t="s">
        <v>12718</v>
      </c>
      <c r="BF804" t="str">
        <f>HYPERLINK("http://dx.doi.org/10.1002/jqs.1073","http://dx.doi.org/10.1002/jqs.1073")</f>
        <v>http://dx.doi.org/10.1002/jqs.1073</v>
      </c>
      <c r="BG804" t="s">
        <v>74</v>
      </c>
      <c r="BH804" t="s">
        <v>74</v>
      </c>
      <c r="BI804">
        <v>11</v>
      </c>
      <c r="BJ804" t="s">
        <v>663</v>
      </c>
      <c r="BK804" t="s">
        <v>97</v>
      </c>
      <c r="BL804" t="s">
        <v>664</v>
      </c>
      <c r="BM804" t="s">
        <v>12719</v>
      </c>
      <c r="BN804" t="s">
        <v>74</v>
      </c>
      <c r="BO804" t="s">
        <v>74</v>
      </c>
      <c r="BP804" t="s">
        <v>74</v>
      </c>
      <c r="BQ804" t="s">
        <v>74</v>
      </c>
      <c r="BR804" t="s">
        <v>100</v>
      </c>
      <c r="BS804" t="s">
        <v>12720</v>
      </c>
      <c r="BT804" t="str">
        <f>HYPERLINK("https%3A%2F%2Fwww.webofscience.com%2Fwos%2Fwoscc%2Ffull-record%2FWOS:000241713100008","View Full Record in Web of Science")</f>
        <v>View Full Record in Web of Science</v>
      </c>
    </row>
    <row r="805" spans="1:72" x14ac:dyDescent="0.15">
      <c r="A805" t="s">
        <v>72</v>
      </c>
      <c r="B805" t="s">
        <v>12721</v>
      </c>
      <c r="C805" t="s">
        <v>74</v>
      </c>
      <c r="D805" t="s">
        <v>74</v>
      </c>
      <c r="E805" t="s">
        <v>74</v>
      </c>
      <c r="F805" t="s">
        <v>12722</v>
      </c>
      <c r="G805" t="s">
        <v>74</v>
      </c>
      <c r="H805" t="s">
        <v>74</v>
      </c>
      <c r="I805" t="s">
        <v>12723</v>
      </c>
      <c r="J805" t="s">
        <v>4104</v>
      </c>
      <c r="K805" t="s">
        <v>74</v>
      </c>
      <c r="L805" t="s">
        <v>74</v>
      </c>
      <c r="M805" t="s">
        <v>78</v>
      </c>
      <c r="N805" t="s">
        <v>79</v>
      </c>
      <c r="O805" t="s">
        <v>74</v>
      </c>
      <c r="P805" t="s">
        <v>74</v>
      </c>
      <c r="Q805" t="s">
        <v>74</v>
      </c>
      <c r="R805" t="s">
        <v>74</v>
      </c>
      <c r="S805" t="s">
        <v>74</v>
      </c>
      <c r="T805" t="s">
        <v>12724</v>
      </c>
      <c r="U805" t="s">
        <v>12725</v>
      </c>
      <c r="V805" t="s">
        <v>12726</v>
      </c>
      <c r="W805" t="s">
        <v>12727</v>
      </c>
      <c r="X805" t="s">
        <v>12728</v>
      </c>
      <c r="Y805" t="s">
        <v>12729</v>
      </c>
      <c r="Z805" t="s">
        <v>12730</v>
      </c>
      <c r="AA805" t="s">
        <v>12731</v>
      </c>
      <c r="AB805" t="s">
        <v>12732</v>
      </c>
      <c r="AC805" t="s">
        <v>74</v>
      </c>
      <c r="AD805" t="s">
        <v>74</v>
      </c>
      <c r="AE805" t="s">
        <v>74</v>
      </c>
      <c r="AF805" t="s">
        <v>74</v>
      </c>
      <c r="AG805">
        <v>93</v>
      </c>
      <c r="AH805">
        <v>25</v>
      </c>
      <c r="AI805">
        <v>27</v>
      </c>
      <c r="AJ805">
        <v>0</v>
      </c>
      <c r="AK805">
        <v>12</v>
      </c>
      <c r="AL805" t="s">
        <v>159</v>
      </c>
      <c r="AM805" t="s">
        <v>160</v>
      </c>
      <c r="AN805" t="s">
        <v>161</v>
      </c>
      <c r="AO805" t="s">
        <v>4114</v>
      </c>
      <c r="AP805" t="s">
        <v>4115</v>
      </c>
      <c r="AQ805" t="s">
        <v>74</v>
      </c>
      <c r="AR805" t="s">
        <v>4116</v>
      </c>
      <c r="AS805" t="s">
        <v>4117</v>
      </c>
      <c r="AT805" t="s">
        <v>12165</v>
      </c>
      <c r="AU805">
        <v>2006</v>
      </c>
      <c r="AV805">
        <v>21</v>
      </c>
      <c r="AW805">
        <v>7</v>
      </c>
      <c r="AX805" t="s">
        <v>74</v>
      </c>
      <c r="AY805" t="s">
        <v>74</v>
      </c>
      <c r="AZ805" t="s">
        <v>74</v>
      </c>
      <c r="BA805" t="s">
        <v>74</v>
      </c>
      <c r="BB805">
        <v>763</v>
      </c>
      <c r="BC805">
        <v>777</v>
      </c>
      <c r="BD805" t="s">
        <v>74</v>
      </c>
      <c r="BE805" t="s">
        <v>12733</v>
      </c>
      <c r="BF805" t="str">
        <f>HYPERLINK("http://dx.doi.org/10.1002/jqs.1067","http://dx.doi.org/10.1002/jqs.1067")</f>
        <v>http://dx.doi.org/10.1002/jqs.1067</v>
      </c>
      <c r="BG805" t="s">
        <v>74</v>
      </c>
      <c r="BH805" t="s">
        <v>74</v>
      </c>
      <c r="BI805">
        <v>15</v>
      </c>
      <c r="BJ805" t="s">
        <v>663</v>
      </c>
      <c r="BK805" t="s">
        <v>97</v>
      </c>
      <c r="BL805" t="s">
        <v>664</v>
      </c>
      <c r="BM805" t="s">
        <v>12719</v>
      </c>
      <c r="BN805" t="s">
        <v>74</v>
      </c>
      <c r="BO805" t="s">
        <v>6194</v>
      </c>
      <c r="BP805" t="s">
        <v>74</v>
      </c>
      <c r="BQ805" t="s">
        <v>74</v>
      </c>
      <c r="BR805" t="s">
        <v>100</v>
      </c>
      <c r="BS805" t="s">
        <v>12734</v>
      </c>
      <c r="BT805" t="str">
        <f>HYPERLINK("https%3A%2F%2Fwww.webofscience.com%2Fwos%2Fwoscc%2Ffull-record%2FWOS:000241713100009","View Full Record in Web of Science")</f>
        <v>View Full Record in Web of Science</v>
      </c>
    </row>
    <row r="806" spans="1:72" x14ac:dyDescent="0.15">
      <c r="A806" t="s">
        <v>72</v>
      </c>
      <c r="B806" t="s">
        <v>12735</v>
      </c>
      <c r="C806" t="s">
        <v>74</v>
      </c>
      <c r="D806" t="s">
        <v>74</v>
      </c>
      <c r="E806" t="s">
        <v>74</v>
      </c>
      <c r="F806" t="s">
        <v>12736</v>
      </c>
      <c r="G806" t="s">
        <v>74</v>
      </c>
      <c r="H806" t="s">
        <v>74</v>
      </c>
      <c r="I806" t="s">
        <v>12737</v>
      </c>
      <c r="J806" t="s">
        <v>11044</v>
      </c>
      <c r="K806" t="s">
        <v>74</v>
      </c>
      <c r="L806" t="s">
        <v>74</v>
      </c>
      <c r="M806" t="s">
        <v>78</v>
      </c>
      <c r="N806" t="s">
        <v>12738</v>
      </c>
      <c r="O806" t="s">
        <v>74</v>
      </c>
      <c r="P806" t="s">
        <v>74</v>
      </c>
      <c r="Q806" t="s">
        <v>74</v>
      </c>
      <c r="R806" t="s">
        <v>74</v>
      </c>
      <c r="S806" t="s">
        <v>74</v>
      </c>
      <c r="T806" t="s">
        <v>74</v>
      </c>
      <c r="U806" t="s">
        <v>74</v>
      </c>
      <c r="V806" t="s">
        <v>74</v>
      </c>
      <c r="W806" t="s">
        <v>8977</v>
      </c>
      <c r="X806" t="s">
        <v>8978</v>
      </c>
      <c r="Y806" t="s">
        <v>12739</v>
      </c>
      <c r="Z806" t="s">
        <v>74</v>
      </c>
      <c r="AA806" t="s">
        <v>74</v>
      </c>
      <c r="AB806" t="s">
        <v>74</v>
      </c>
      <c r="AC806" t="s">
        <v>74</v>
      </c>
      <c r="AD806" t="s">
        <v>74</v>
      </c>
      <c r="AE806" t="s">
        <v>74</v>
      </c>
      <c r="AF806" t="s">
        <v>74</v>
      </c>
      <c r="AG806">
        <v>0</v>
      </c>
      <c r="AH806">
        <v>0</v>
      </c>
      <c r="AI806">
        <v>0</v>
      </c>
      <c r="AJ806">
        <v>0</v>
      </c>
      <c r="AK806">
        <v>3</v>
      </c>
      <c r="AL806" t="s">
        <v>11048</v>
      </c>
      <c r="AM806" t="s">
        <v>7810</v>
      </c>
      <c r="AN806" t="s">
        <v>11049</v>
      </c>
      <c r="AO806" t="s">
        <v>11050</v>
      </c>
      <c r="AP806" t="s">
        <v>74</v>
      </c>
      <c r="AQ806" t="s">
        <v>74</v>
      </c>
      <c r="AR806" t="s">
        <v>11051</v>
      </c>
      <c r="AS806" t="s">
        <v>11052</v>
      </c>
      <c r="AT806" t="s">
        <v>12165</v>
      </c>
      <c r="AU806">
        <v>2006</v>
      </c>
      <c r="AV806">
        <v>68</v>
      </c>
      <c r="AW806">
        <v>4</v>
      </c>
      <c r="AX806" t="s">
        <v>74</v>
      </c>
      <c r="AY806" t="s">
        <v>74</v>
      </c>
      <c r="AZ806" t="s">
        <v>74</v>
      </c>
      <c r="BA806" t="s">
        <v>74</v>
      </c>
      <c r="BB806">
        <v>733</v>
      </c>
      <c r="BC806">
        <v>734</v>
      </c>
      <c r="BD806" t="s">
        <v>74</v>
      </c>
      <c r="BE806" t="s">
        <v>74</v>
      </c>
      <c r="BF806" t="s">
        <v>74</v>
      </c>
      <c r="BG806" t="s">
        <v>74</v>
      </c>
      <c r="BH806" t="s">
        <v>74</v>
      </c>
      <c r="BI806">
        <v>2</v>
      </c>
      <c r="BJ806" t="s">
        <v>685</v>
      </c>
      <c r="BK806" t="s">
        <v>97</v>
      </c>
      <c r="BL806" t="s">
        <v>642</v>
      </c>
      <c r="BM806" t="s">
        <v>12740</v>
      </c>
      <c r="BN806" t="s">
        <v>74</v>
      </c>
      <c r="BO806" t="s">
        <v>74</v>
      </c>
      <c r="BP806" t="s">
        <v>74</v>
      </c>
      <c r="BQ806" t="s">
        <v>74</v>
      </c>
      <c r="BR806" t="s">
        <v>100</v>
      </c>
      <c r="BS806" t="s">
        <v>12741</v>
      </c>
      <c r="BT806" t="str">
        <f>HYPERLINK("https%3A%2F%2Fwww.webofscience.com%2Fwos%2Fwoscc%2Ffull-record%2FWOS:000242920800029","View Full Record in Web of Science")</f>
        <v>View Full Record in Web of Science</v>
      </c>
    </row>
    <row r="807" spans="1:72" x14ac:dyDescent="0.15">
      <c r="A807" t="s">
        <v>72</v>
      </c>
      <c r="B807" t="s">
        <v>12742</v>
      </c>
      <c r="C807" t="s">
        <v>74</v>
      </c>
      <c r="D807" t="s">
        <v>74</v>
      </c>
      <c r="E807" t="s">
        <v>74</v>
      </c>
      <c r="F807" t="s">
        <v>12743</v>
      </c>
      <c r="G807" t="s">
        <v>74</v>
      </c>
      <c r="H807" t="s">
        <v>74</v>
      </c>
      <c r="I807" t="s">
        <v>12744</v>
      </c>
      <c r="J807" t="s">
        <v>12745</v>
      </c>
      <c r="K807" t="s">
        <v>74</v>
      </c>
      <c r="L807" t="s">
        <v>74</v>
      </c>
      <c r="M807" t="s">
        <v>78</v>
      </c>
      <c r="N807" t="s">
        <v>79</v>
      </c>
      <c r="O807" t="s">
        <v>74</v>
      </c>
      <c r="P807" t="s">
        <v>74</v>
      </c>
      <c r="Q807" t="s">
        <v>74</v>
      </c>
      <c r="R807" t="s">
        <v>74</v>
      </c>
      <c r="S807" t="s">
        <v>74</v>
      </c>
      <c r="T807" t="s">
        <v>74</v>
      </c>
      <c r="U807" t="s">
        <v>74</v>
      </c>
      <c r="V807" t="s">
        <v>12746</v>
      </c>
      <c r="W807" t="s">
        <v>12747</v>
      </c>
      <c r="X807" t="s">
        <v>12748</v>
      </c>
      <c r="Y807" t="s">
        <v>12749</v>
      </c>
      <c r="Z807" t="s">
        <v>12750</v>
      </c>
      <c r="AA807" t="s">
        <v>12751</v>
      </c>
      <c r="AB807" t="s">
        <v>12752</v>
      </c>
      <c r="AC807" t="s">
        <v>74</v>
      </c>
      <c r="AD807" t="s">
        <v>74</v>
      </c>
      <c r="AE807" t="s">
        <v>74</v>
      </c>
      <c r="AF807" t="s">
        <v>74</v>
      </c>
      <c r="AG807">
        <v>17</v>
      </c>
      <c r="AH807">
        <v>6</v>
      </c>
      <c r="AI807">
        <v>7</v>
      </c>
      <c r="AJ807">
        <v>0</v>
      </c>
      <c r="AK807">
        <v>8</v>
      </c>
      <c r="AL807" t="s">
        <v>221</v>
      </c>
      <c r="AM807" t="s">
        <v>678</v>
      </c>
      <c r="AN807" t="s">
        <v>2692</v>
      </c>
      <c r="AO807" t="s">
        <v>12753</v>
      </c>
      <c r="AP807" t="s">
        <v>12754</v>
      </c>
      <c r="AQ807" t="s">
        <v>74</v>
      </c>
      <c r="AR807" t="s">
        <v>12755</v>
      </c>
      <c r="AS807" t="s">
        <v>12756</v>
      </c>
      <c r="AT807" t="s">
        <v>12165</v>
      </c>
      <c r="AU807">
        <v>2006</v>
      </c>
      <c r="AV807">
        <v>86</v>
      </c>
      <c r="AW807">
        <v>5</v>
      </c>
      <c r="AX807" t="s">
        <v>74</v>
      </c>
      <c r="AY807" t="s">
        <v>74</v>
      </c>
      <c r="AZ807" t="s">
        <v>74</v>
      </c>
      <c r="BA807" t="s">
        <v>74</v>
      </c>
      <c r="BB807">
        <v>949</v>
      </c>
      <c r="BC807">
        <v>955</v>
      </c>
      <c r="BD807" t="s">
        <v>74</v>
      </c>
      <c r="BE807" t="s">
        <v>12757</v>
      </c>
      <c r="BF807" t="str">
        <f>HYPERLINK("http://dx.doi.org/10.1017/S0025315406013919","http://dx.doi.org/10.1017/S0025315406013919")</f>
        <v>http://dx.doi.org/10.1017/S0025315406013919</v>
      </c>
      <c r="BG807" t="s">
        <v>74</v>
      </c>
      <c r="BH807" t="s">
        <v>74</v>
      </c>
      <c r="BI807">
        <v>7</v>
      </c>
      <c r="BJ807" t="s">
        <v>122</v>
      </c>
      <c r="BK807" t="s">
        <v>97</v>
      </c>
      <c r="BL807" t="s">
        <v>122</v>
      </c>
      <c r="BM807" t="s">
        <v>12758</v>
      </c>
      <c r="BN807" t="s">
        <v>74</v>
      </c>
      <c r="BO807" t="s">
        <v>74</v>
      </c>
      <c r="BP807" t="s">
        <v>74</v>
      </c>
      <c r="BQ807" t="s">
        <v>74</v>
      </c>
      <c r="BR807" t="s">
        <v>100</v>
      </c>
      <c r="BS807" t="s">
        <v>12759</v>
      </c>
      <c r="BT807" t="str">
        <f>HYPERLINK("https%3A%2F%2Fwww.webofscience.com%2Fwos%2Fwoscc%2Ffull-record%2FWOS:000241311000004","View Full Record in Web of Science")</f>
        <v>View Full Record in Web of Science</v>
      </c>
    </row>
    <row r="808" spans="1:72" x14ac:dyDescent="0.15">
      <c r="A808" t="s">
        <v>72</v>
      </c>
      <c r="B808" t="s">
        <v>12760</v>
      </c>
      <c r="C808" t="s">
        <v>74</v>
      </c>
      <c r="D808" t="s">
        <v>74</v>
      </c>
      <c r="E808" t="s">
        <v>74</v>
      </c>
      <c r="F808" t="s">
        <v>12761</v>
      </c>
      <c r="G808" t="s">
        <v>74</v>
      </c>
      <c r="H808" t="s">
        <v>74</v>
      </c>
      <c r="I808" t="s">
        <v>12762</v>
      </c>
      <c r="J808" t="s">
        <v>12745</v>
      </c>
      <c r="K808" t="s">
        <v>74</v>
      </c>
      <c r="L808" t="s">
        <v>74</v>
      </c>
      <c r="M808" t="s">
        <v>78</v>
      </c>
      <c r="N808" t="s">
        <v>79</v>
      </c>
      <c r="O808" t="s">
        <v>74</v>
      </c>
      <c r="P808" t="s">
        <v>74</v>
      </c>
      <c r="Q808" t="s">
        <v>74</v>
      </c>
      <c r="R808" t="s">
        <v>74</v>
      </c>
      <c r="S808" t="s">
        <v>74</v>
      </c>
      <c r="T808" t="s">
        <v>74</v>
      </c>
      <c r="U808" t="s">
        <v>74</v>
      </c>
      <c r="V808" t="s">
        <v>12763</v>
      </c>
      <c r="W808" t="s">
        <v>12764</v>
      </c>
      <c r="X808" t="s">
        <v>12765</v>
      </c>
      <c r="Y808" t="s">
        <v>12766</v>
      </c>
      <c r="Z808" t="s">
        <v>12767</v>
      </c>
      <c r="AA808" t="s">
        <v>12768</v>
      </c>
      <c r="AB808" t="s">
        <v>12769</v>
      </c>
      <c r="AC808" t="s">
        <v>74</v>
      </c>
      <c r="AD808" t="s">
        <v>74</v>
      </c>
      <c r="AE808" t="s">
        <v>74</v>
      </c>
      <c r="AF808" t="s">
        <v>74</v>
      </c>
      <c r="AG808">
        <v>10</v>
      </c>
      <c r="AH808">
        <v>15</v>
      </c>
      <c r="AI808">
        <v>16</v>
      </c>
      <c r="AJ808">
        <v>0</v>
      </c>
      <c r="AK808">
        <v>2</v>
      </c>
      <c r="AL808" t="s">
        <v>221</v>
      </c>
      <c r="AM808" t="s">
        <v>678</v>
      </c>
      <c r="AN808" t="s">
        <v>2692</v>
      </c>
      <c r="AO808" t="s">
        <v>12753</v>
      </c>
      <c r="AP808" t="s">
        <v>74</v>
      </c>
      <c r="AQ808" t="s">
        <v>74</v>
      </c>
      <c r="AR808" t="s">
        <v>12755</v>
      </c>
      <c r="AS808" t="s">
        <v>12756</v>
      </c>
      <c r="AT808" t="s">
        <v>12165</v>
      </c>
      <c r="AU808">
        <v>2006</v>
      </c>
      <c r="AV808">
        <v>86</v>
      </c>
      <c r="AW808">
        <v>5</v>
      </c>
      <c r="AX808" t="s">
        <v>74</v>
      </c>
      <c r="AY808" t="s">
        <v>74</v>
      </c>
      <c r="AZ808" t="s">
        <v>74</v>
      </c>
      <c r="BA808" t="s">
        <v>74</v>
      </c>
      <c r="BB808">
        <v>957</v>
      </c>
      <c r="BC808">
        <v>961</v>
      </c>
      <c r="BD808" t="s">
        <v>74</v>
      </c>
      <c r="BE808" t="s">
        <v>12770</v>
      </c>
      <c r="BF808" t="str">
        <f>HYPERLINK("http://dx.doi.org/10.1017/S0025315406013920","http://dx.doi.org/10.1017/S0025315406013920")</f>
        <v>http://dx.doi.org/10.1017/S0025315406013920</v>
      </c>
      <c r="BG808" t="s">
        <v>74</v>
      </c>
      <c r="BH808" t="s">
        <v>74</v>
      </c>
      <c r="BI808">
        <v>5</v>
      </c>
      <c r="BJ808" t="s">
        <v>122</v>
      </c>
      <c r="BK808" t="s">
        <v>97</v>
      </c>
      <c r="BL808" t="s">
        <v>122</v>
      </c>
      <c r="BM808" t="s">
        <v>12758</v>
      </c>
      <c r="BN808" t="s">
        <v>74</v>
      </c>
      <c r="BO808" t="s">
        <v>74</v>
      </c>
      <c r="BP808" t="s">
        <v>74</v>
      </c>
      <c r="BQ808" t="s">
        <v>74</v>
      </c>
      <c r="BR808" t="s">
        <v>100</v>
      </c>
      <c r="BS808" t="s">
        <v>12771</v>
      </c>
      <c r="BT808" t="str">
        <f>HYPERLINK("https%3A%2F%2Fwww.webofscience.com%2Fwos%2Fwoscc%2Ffull-record%2FWOS:000241311000005","View Full Record in Web of Science")</f>
        <v>View Full Record in Web of Science</v>
      </c>
    </row>
    <row r="809" spans="1:72" x14ac:dyDescent="0.15">
      <c r="A809" t="s">
        <v>72</v>
      </c>
      <c r="B809" t="s">
        <v>12772</v>
      </c>
      <c r="C809" t="s">
        <v>74</v>
      </c>
      <c r="D809" t="s">
        <v>74</v>
      </c>
      <c r="E809" t="s">
        <v>74</v>
      </c>
      <c r="F809" t="s">
        <v>12773</v>
      </c>
      <c r="G809" t="s">
        <v>74</v>
      </c>
      <c r="H809" t="s">
        <v>74</v>
      </c>
      <c r="I809" t="s">
        <v>12774</v>
      </c>
      <c r="J809" t="s">
        <v>12775</v>
      </c>
      <c r="K809" t="s">
        <v>74</v>
      </c>
      <c r="L809" t="s">
        <v>74</v>
      </c>
      <c r="M809" t="s">
        <v>78</v>
      </c>
      <c r="N809" t="s">
        <v>79</v>
      </c>
      <c r="O809" t="s">
        <v>74</v>
      </c>
      <c r="P809" t="s">
        <v>74</v>
      </c>
      <c r="Q809" t="s">
        <v>74</v>
      </c>
      <c r="R809" t="s">
        <v>74</v>
      </c>
      <c r="S809" t="s">
        <v>74</v>
      </c>
      <c r="T809" t="s">
        <v>12776</v>
      </c>
      <c r="U809" t="s">
        <v>12777</v>
      </c>
      <c r="V809" t="s">
        <v>12778</v>
      </c>
      <c r="W809" t="s">
        <v>12779</v>
      </c>
      <c r="X809" t="s">
        <v>12780</v>
      </c>
      <c r="Y809" t="s">
        <v>12781</v>
      </c>
      <c r="Z809" t="s">
        <v>12782</v>
      </c>
      <c r="AA809" t="s">
        <v>12783</v>
      </c>
      <c r="AB809" t="s">
        <v>12784</v>
      </c>
      <c r="AC809" t="s">
        <v>74</v>
      </c>
      <c r="AD809" t="s">
        <v>74</v>
      </c>
      <c r="AE809" t="s">
        <v>74</v>
      </c>
      <c r="AF809" t="s">
        <v>74</v>
      </c>
      <c r="AG809">
        <v>47</v>
      </c>
      <c r="AH809">
        <v>62</v>
      </c>
      <c r="AI809">
        <v>67</v>
      </c>
      <c r="AJ809">
        <v>0</v>
      </c>
      <c r="AK809">
        <v>15</v>
      </c>
      <c r="AL809" t="s">
        <v>2829</v>
      </c>
      <c r="AM809" t="s">
        <v>903</v>
      </c>
      <c r="AN809" t="s">
        <v>2830</v>
      </c>
      <c r="AO809" t="s">
        <v>12785</v>
      </c>
      <c r="AP809" t="s">
        <v>12786</v>
      </c>
      <c r="AQ809" t="s">
        <v>74</v>
      </c>
      <c r="AR809" t="s">
        <v>12787</v>
      </c>
      <c r="AS809" t="s">
        <v>12788</v>
      </c>
      <c r="AT809" t="s">
        <v>12420</v>
      </c>
      <c r="AU809">
        <v>2006</v>
      </c>
      <c r="AV809">
        <v>157</v>
      </c>
      <c r="AW809">
        <v>4</v>
      </c>
      <c r="AX809" t="s">
        <v>74</v>
      </c>
      <c r="AY809" t="s">
        <v>74</v>
      </c>
      <c r="AZ809" t="s">
        <v>74</v>
      </c>
      <c r="BA809" t="s">
        <v>74</v>
      </c>
      <c r="BB809">
        <v>311</v>
      </c>
      <c r="BC809">
        <v>330</v>
      </c>
      <c r="BD809" t="s">
        <v>74</v>
      </c>
      <c r="BE809" t="s">
        <v>12789</v>
      </c>
      <c r="BF809" t="str">
        <f>HYPERLINK("http://dx.doi.org/10.1016/j.jvolgeores.2006.04.007","http://dx.doi.org/10.1016/j.jvolgeores.2006.04.007")</f>
        <v>http://dx.doi.org/10.1016/j.jvolgeores.2006.04.007</v>
      </c>
      <c r="BG809" t="s">
        <v>74</v>
      </c>
      <c r="BH809" t="s">
        <v>74</v>
      </c>
      <c r="BI809">
        <v>20</v>
      </c>
      <c r="BJ809" t="s">
        <v>685</v>
      </c>
      <c r="BK809" t="s">
        <v>97</v>
      </c>
      <c r="BL809" t="s">
        <v>642</v>
      </c>
      <c r="BM809" t="s">
        <v>12790</v>
      </c>
      <c r="BN809" t="s">
        <v>74</v>
      </c>
      <c r="BO809" t="s">
        <v>74</v>
      </c>
      <c r="BP809" t="s">
        <v>74</v>
      </c>
      <c r="BQ809" t="s">
        <v>74</v>
      </c>
      <c r="BR809" t="s">
        <v>100</v>
      </c>
      <c r="BS809" t="s">
        <v>12791</v>
      </c>
      <c r="BT809" t="str">
        <f>HYPERLINK("https%3A%2F%2Fwww.webofscience.com%2Fwos%2Fwoscc%2Ffull-record%2FWOS:000241087900003","View Full Record in Web of Science")</f>
        <v>View Full Record in Web of Science</v>
      </c>
    </row>
    <row r="810" spans="1:72" x14ac:dyDescent="0.15">
      <c r="A810" t="s">
        <v>72</v>
      </c>
      <c r="B810" t="s">
        <v>12792</v>
      </c>
      <c r="C810" t="s">
        <v>74</v>
      </c>
      <c r="D810" t="s">
        <v>74</v>
      </c>
      <c r="E810" t="s">
        <v>74</v>
      </c>
      <c r="F810" t="s">
        <v>12793</v>
      </c>
      <c r="G810" t="s">
        <v>74</v>
      </c>
      <c r="H810" t="s">
        <v>74</v>
      </c>
      <c r="I810" t="s">
        <v>12794</v>
      </c>
      <c r="J810" t="s">
        <v>12795</v>
      </c>
      <c r="K810" t="s">
        <v>74</v>
      </c>
      <c r="L810" t="s">
        <v>74</v>
      </c>
      <c r="M810" t="s">
        <v>78</v>
      </c>
      <c r="N810" t="s">
        <v>79</v>
      </c>
      <c r="O810" t="s">
        <v>74</v>
      </c>
      <c r="P810" t="s">
        <v>74</v>
      </c>
      <c r="Q810" t="s">
        <v>74</v>
      </c>
      <c r="R810" t="s">
        <v>74</v>
      </c>
      <c r="S810" t="s">
        <v>74</v>
      </c>
      <c r="T810" t="s">
        <v>12796</v>
      </c>
      <c r="U810" t="s">
        <v>12797</v>
      </c>
      <c r="V810" t="s">
        <v>12798</v>
      </c>
      <c r="W810" t="s">
        <v>12799</v>
      </c>
      <c r="X810" t="s">
        <v>12800</v>
      </c>
      <c r="Y810" t="s">
        <v>12801</v>
      </c>
      <c r="Z810" t="s">
        <v>12802</v>
      </c>
      <c r="AA810" t="s">
        <v>12803</v>
      </c>
      <c r="AB810" t="s">
        <v>12804</v>
      </c>
      <c r="AC810" t="s">
        <v>74</v>
      </c>
      <c r="AD810" t="s">
        <v>74</v>
      </c>
      <c r="AE810" t="s">
        <v>74</v>
      </c>
      <c r="AF810" t="s">
        <v>74</v>
      </c>
      <c r="AG810">
        <v>60</v>
      </c>
      <c r="AH810">
        <v>21</v>
      </c>
      <c r="AI810">
        <v>24</v>
      </c>
      <c r="AJ810">
        <v>3</v>
      </c>
      <c r="AK810">
        <v>15</v>
      </c>
      <c r="AL810" t="s">
        <v>5744</v>
      </c>
      <c r="AM810" t="s">
        <v>818</v>
      </c>
      <c r="AN810" t="s">
        <v>5745</v>
      </c>
      <c r="AO810" t="s">
        <v>12805</v>
      </c>
      <c r="AP810" t="s">
        <v>74</v>
      </c>
      <c r="AQ810" t="s">
        <v>74</v>
      </c>
      <c r="AR810" t="s">
        <v>12806</v>
      </c>
      <c r="AS810" t="s">
        <v>12807</v>
      </c>
      <c r="AT810" t="s">
        <v>12165</v>
      </c>
      <c r="AU810">
        <v>2006</v>
      </c>
      <c r="AV810">
        <v>22</v>
      </c>
      <c r="AW810">
        <v>4</v>
      </c>
      <c r="AX810" t="s">
        <v>74</v>
      </c>
      <c r="AY810" t="s">
        <v>74</v>
      </c>
      <c r="AZ810" t="s">
        <v>74</v>
      </c>
      <c r="BA810" t="s">
        <v>74</v>
      </c>
      <c r="BB810">
        <v>933</v>
      </c>
      <c r="BC810">
        <v>951</v>
      </c>
      <c r="BD810" t="s">
        <v>74</v>
      </c>
      <c r="BE810" t="s">
        <v>12808</v>
      </c>
      <c r="BF810" t="str">
        <f>HYPERLINK("http://dx.doi.org/10.1111/j.1748-7692.2006.00074.x","http://dx.doi.org/10.1111/j.1748-7692.2006.00074.x")</f>
        <v>http://dx.doi.org/10.1111/j.1748-7692.2006.00074.x</v>
      </c>
      <c r="BG810" t="s">
        <v>74</v>
      </c>
      <c r="BH810" t="s">
        <v>74</v>
      </c>
      <c r="BI810">
        <v>19</v>
      </c>
      <c r="BJ810" t="s">
        <v>10198</v>
      </c>
      <c r="BK810" t="s">
        <v>97</v>
      </c>
      <c r="BL810" t="s">
        <v>10198</v>
      </c>
      <c r="BM810" t="s">
        <v>12809</v>
      </c>
      <c r="BN810" t="s">
        <v>74</v>
      </c>
      <c r="BO810" t="s">
        <v>74</v>
      </c>
      <c r="BP810" t="s">
        <v>74</v>
      </c>
      <c r="BQ810" t="s">
        <v>74</v>
      </c>
      <c r="BR810" t="s">
        <v>100</v>
      </c>
      <c r="BS810" t="s">
        <v>12810</v>
      </c>
      <c r="BT810" t="str">
        <f>HYPERLINK("https%3A%2F%2Fwww.webofscience.com%2Fwos%2Fwoscc%2Ffull-record%2FWOS:000240663000010","View Full Record in Web of Science")</f>
        <v>View Full Record in Web of Science</v>
      </c>
    </row>
    <row r="811" spans="1:72" x14ac:dyDescent="0.15">
      <c r="A811" t="s">
        <v>72</v>
      </c>
      <c r="B811" t="s">
        <v>12811</v>
      </c>
      <c r="C811" t="s">
        <v>74</v>
      </c>
      <c r="D811" t="s">
        <v>74</v>
      </c>
      <c r="E811" t="s">
        <v>74</v>
      </c>
      <c r="F811" t="s">
        <v>12812</v>
      </c>
      <c r="G811" t="s">
        <v>74</v>
      </c>
      <c r="H811" t="s">
        <v>74</v>
      </c>
      <c r="I811" t="s">
        <v>12813</v>
      </c>
      <c r="J811" t="s">
        <v>4892</v>
      </c>
      <c r="K811" t="s">
        <v>74</v>
      </c>
      <c r="L811" t="s">
        <v>74</v>
      </c>
      <c r="M811" t="s">
        <v>78</v>
      </c>
      <c r="N811" t="s">
        <v>176</v>
      </c>
      <c r="O811" t="s">
        <v>12814</v>
      </c>
      <c r="P811" t="s">
        <v>12815</v>
      </c>
      <c r="Q811" t="s">
        <v>12816</v>
      </c>
      <c r="R811" t="s">
        <v>74</v>
      </c>
      <c r="S811" t="s">
        <v>12817</v>
      </c>
      <c r="T811" t="s">
        <v>74</v>
      </c>
      <c r="U811" t="s">
        <v>12818</v>
      </c>
      <c r="V811" t="s">
        <v>12819</v>
      </c>
      <c r="W811" t="s">
        <v>12820</v>
      </c>
      <c r="X811" t="s">
        <v>12821</v>
      </c>
      <c r="Y811" t="s">
        <v>12822</v>
      </c>
      <c r="Z811" t="s">
        <v>12823</v>
      </c>
      <c r="AA811" t="s">
        <v>12824</v>
      </c>
      <c r="AB811" t="s">
        <v>12825</v>
      </c>
      <c r="AC811" t="s">
        <v>74</v>
      </c>
      <c r="AD811" t="s">
        <v>74</v>
      </c>
      <c r="AE811" t="s">
        <v>74</v>
      </c>
      <c r="AF811" t="s">
        <v>74</v>
      </c>
      <c r="AG811">
        <v>52</v>
      </c>
      <c r="AH811">
        <v>19</v>
      </c>
      <c r="AI811">
        <v>21</v>
      </c>
      <c r="AJ811">
        <v>0</v>
      </c>
      <c r="AK811">
        <v>8</v>
      </c>
      <c r="AL811" t="s">
        <v>159</v>
      </c>
      <c r="AM811" t="s">
        <v>160</v>
      </c>
      <c r="AN811" t="s">
        <v>161</v>
      </c>
      <c r="AO811" t="s">
        <v>4901</v>
      </c>
      <c r="AP811" t="s">
        <v>4902</v>
      </c>
      <c r="AQ811" t="s">
        <v>74</v>
      </c>
      <c r="AR811" t="s">
        <v>4903</v>
      </c>
      <c r="AS811" t="s">
        <v>4904</v>
      </c>
      <c r="AT811" t="s">
        <v>12165</v>
      </c>
      <c r="AU811">
        <v>2006</v>
      </c>
      <c r="AV811">
        <v>41</v>
      </c>
      <c r="AW811">
        <v>10</v>
      </c>
      <c r="AX811" t="s">
        <v>74</v>
      </c>
      <c r="AY811" t="s">
        <v>74</v>
      </c>
      <c r="AZ811" t="s">
        <v>74</v>
      </c>
      <c r="BA811" t="s">
        <v>74</v>
      </c>
      <c r="BB811">
        <v>1659</v>
      </c>
      <c r="BC811">
        <v>1674</v>
      </c>
      <c r="BD811" t="s">
        <v>74</v>
      </c>
      <c r="BE811" t="s">
        <v>12826</v>
      </c>
      <c r="BF811" t="str">
        <f>HYPERLINK("http://dx.doi.org/10.1111/j.1945-5100.2006.tb00443.x","http://dx.doi.org/10.1111/j.1945-5100.2006.tb00443.x")</f>
        <v>http://dx.doi.org/10.1111/j.1945-5100.2006.tb00443.x</v>
      </c>
      <c r="BG811" t="s">
        <v>74</v>
      </c>
      <c r="BH811" t="s">
        <v>74</v>
      </c>
      <c r="BI811">
        <v>16</v>
      </c>
      <c r="BJ811" t="s">
        <v>865</v>
      </c>
      <c r="BK811" t="s">
        <v>197</v>
      </c>
      <c r="BL811" t="s">
        <v>865</v>
      </c>
      <c r="BM811" t="s">
        <v>12827</v>
      </c>
      <c r="BN811" t="s">
        <v>74</v>
      </c>
      <c r="BO811" t="s">
        <v>124</v>
      </c>
      <c r="BP811" t="s">
        <v>74</v>
      </c>
      <c r="BQ811" t="s">
        <v>74</v>
      </c>
      <c r="BR811" t="s">
        <v>100</v>
      </c>
      <c r="BS811" t="s">
        <v>12828</v>
      </c>
      <c r="BT811" t="str">
        <f>HYPERLINK("https%3A%2F%2Fwww.webofscience.com%2Fwos%2Fwoscc%2Ffull-record%2FWOS:000241530500018","View Full Record in Web of Science")</f>
        <v>View Full Record in Web of Science</v>
      </c>
    </row>
    <row r="812" spans="1:72" x14ac:dyDescent="0.15">
      <c r="A812" t="s">
        <v>72</v>
      </c>
      <c r="B812" t="s">
        <v>12829</v>
      </c>
      <c r="C812" t="s">
        <v>74</v>
      </c>
      <c r="D812" t="s">
        <v>74</v>
      </c>
      <c r="E812" t="s">
        <v>74</v>
      </c>
      <c r="F812" t="s">
        <v>12830</v>
      </c>
      <c r="G812" t="s">
        <v>74</v>
      </c>
      <c r="H812" t="s">
        <v>74</v>
      </c>
      <c r="I812" t="s">
        <v>12831</v>
      </c>
      <c r="J812" t="s">
        <v>4924</v>
      </c>
      <c r="K812" t="s">
        <v>74</v>
      </c>
      <c r="L812" t="s">
        <v>74</v>
      </c>
      <c r="M812" t="s">
        <v>78</v>
      </c>
      <c r="N812" t="s">
        <v>79</v>
      </c>
      <c r="O812" t="s">
        <v>74</v>
      </c>
      <c r="P812" t="s">
        <v>74</v>
      </c>
      <c r="Q812" t="s">
        <v>74</v>
      </c>
      <c r="R812" t="s">
        <v>74</v>
      </c>
      <c r="S812" t="s">
        <v>74</v>
      </c>
      <c r="T812" t="s">
        <v>74</v>
      </c>
      <c r="U812" t="s">
        <v>12832</v>
      </c>
      <c r="V812" t="s">
        <v>12833</v>
      </c>
      <c r="W812" t="s">
        <v>12834</v>
      </c>
      <c r="X812" t="s">
        <v>12265</v>
      </c>
      <c r="Y812" t="s">
        <v>12835</v>
      </c>
      <c r="Z812" t="s">
        <v>12836</v>
      </c>
      <c r="AA812" t="s">
        <v>12837</v>
      </c>
      <c r="AB812" t="s">
        <v>12838</v>
      </c>
      <c r="AC812" t="s">
        <v>74</v>
      </c>
      <c r="AD812" t="s">
        <v>74</v>
      </c>
      <c r="AE812" t="s">
        <v>74</v>
      </c>
      <c r="AF812" t="s">
        <v>74</v>
      </c>
      <c r="AG812">
        <v>32</v>
      </c>
      <c r="AH812">
        <v>103</v>
      </c>
      <c r="AI812">
        <v>114</v>
      </c>
      <c r="AJ812">
        <v>1</v>
      </c>
      <c r="AK812">
        <v>39</v>
      </c>
      <c r="AL812" t="s">
        <v>613</v>
      </c>
      <c r="AM812" t="s">
        <v>678</v>
      </c>
      <c r="AN812" t="s">
        <v>5667</v>
      </c>
      <c r="AO812" t="s">
        <v>4929</v>
      </c>
      <c r="AP812" t="s">
        <v>4930</v>
      </c>
      <c r="AQ812" t="s">
        <v>74</v>
      </c>
      <c r="AR812" t="s">
        <v>4931</v>
      </c>
      <c r="AS812" t="s">
        <v>4932</v>
      </c>
      <c r="AT812" t="s">
        <v>12165</v>
      </c>
      <c r="AU812">
        <v>2006</v>
      </c>
      <c r="AV812">
        <v>52</v>
      </c>
      <c r="AW812">
        <v>3</v>
      </c>
      <c r="AX812" t="s">
        <v>74</v>
      </c>
      <c r="AY812" t="s">
        <v>74</v>
      </c>
      <c r="AZ812" t="s">
        <v>74</v>
      </c>
      <c r="BA812" t="s">
        <v>74</v>
      </c>
      <c r="BB812">
        <v>523</v>
      </c>
      <c r="BC812">
        <v>532</v>
      </c>
      <c r="BD812" t="s">
        <v>74</v>
      </c>
      <c r="BE812" t="s">
        <v>12839</v>
      </c>
      <c r="BF812" t="str">
        <f>HYPERLINK("http://dx.doi.org/10.1007/s00248-006-9131-z","http://dx.doi.org/10.1007/s00248-006-9131-z")</f>
        <v>http://dx.doi.org/10.1007/s00248-006-9131-z</v>
      </c>
      <c r="BG812" t="s">
        <v>74</v>
      </c>
      <c r="BH812" t="s">
        <v>74</v>
      </c>
      <c r="BI812">
        <v>10</v>
      </c>
      <c r="BJ812" t="s">
        <v>4934</v>
      </c>
      <c r="BK812" t="s">
        <v>97</v>
      </c>
      <c r="BL812" t="s">
        <v>4935</v>
      </c>
      <c r="BM812" t="s">
        <v>12840</v>
      </c>
      <c r="BN812">
        <v>16944337</v>
      </c>
      <c r="BO812" t="s">
        <v>74</v>
      </c>
      <c r="BP812" t="s">
        <v>74</v>
      </c>
      <c r="BQ812" t="s">
        <v>74</v>
      </c>
      <c r="BR812" t="s">
        <v>100</v>
      </c>
      <c r="BS812" t="s">
        <v>12841</v>
      </c>
      <c r="BT812" t="str">
        <f>HYPERLINK("https%3A%2F%2Fwww.webofscience.com%2Fwos%2Fwoscc%2Ffull-record%2FWOS:000242464700017","View Full Record in Web of Science")</f>
        <v>View Full Record in Web of Science</v>
      </c>
    </row>
    <row r="813" spans="1:72" x14ac:dyDescent="0.15">
      <c r="A813" t="s">
        <v>72</v>
      </c>
      <c r="B813" t="s">
        <v>12842</v>
      </c>
      <c r="C813" t="s">
        <v>74</v>
      </c>
      <c r="D813" t="s">
        <v>74</v>
      </c>
      <c r="E813" t="s">
        <v>74</v>
      </c>
      <c r="F813" t="s">
        <v>12843</v>
      </c>
      <c r="G813" t="s">
        <v>74</v>
      </c>
      <c r="H813" t="s">
        <v>74</v>
      </c>
      <c r="I813" t="s">
        <v>12844</v>
      </c>
      <c r="J813" t="s">
        <v>9168</v>
      </c>
      <c r="K813" t="s">
        <v>74</v>
      </c>
      <c r="L813" t="s">
        <v>74</v>
      </c>
      <c r="M813" t="s">
        <v>78</v>
      </c>
      <c r="N813" t="s">
        <v>79</v>
      </c>
      <c r="O813" t="s">
        <v>74</v>
      </c>
      <c r="P813" t="s">
        <v>74</v>
      </c>
      <c r="Q813" t="s">
        <v>74</v>
      </c>
      <c r="R813" t="s">
        <v>74</v>
      </c>
      <c r="S813" t="s">
        <v>74</v>
      </c>
      <c r="T813" t="s">
        <v>12845</v>
      </c>
      <c r="U813" t="s">
        <v>12846</v>
      </c>
      <c r="V813" t="s">
        <v>12847</v>
      </c>
      <c r="W813" t="s">
        <v>12848</v>
      </c>
      <c r="X813" t="s">
        <v>12849</v>
      </c>
      <c r="Y813" t="s">
        <v>12850</v>
      </c>
      <c r="Z813" t="s">
        <v>12851</v>
      </c>
      <c r="AA813" t="s">
        <v>12852</v>
      </c>
      <c r="AB813" t="s">
        <v>12853</v>
      </c>
      <c r="AC813" t="s">
        <v>74</v>
      </c>
      <c r="AD813" t="s">
        <v>74</v>
      </c>
      <c r="AE813" t="s">
        <v>74</v>
      </c>
      <c r="AF813" t="s">
        <v>74</v>
      </c>
      <c r="AG813">
        <v>62</v>
      </c>
      <c r="AH813">
        <v>66</v>
      </c>
      <c r="AI813">
        <v>80</v>
      </c>
      <c r="AJ813">
        <v>1</v>
      </c>
      <c r="AK813">
        <v>30</v>
      </c>
      <c r="AL813" t="s">
        <v>5744</v>
      </c>
      <c r="AM813" t="s">
        <v>818</v>
      </c>
      <c r="AN813" t="s">
        <v>5745</v>
      </c>
      <c r="AO813" t="s">
        <v>9178</v>
      </c>
      <c r="AP813" t="s">
        <v>74</v>
      </c>
      <c r="AQ813" t="s">
        <v>74</v>
      </c>
      <c r="AR813" t="s">
        <v>9180</v>
      </c>
      <c r="AS813" t="s">
        <v>9181</v>
      </c>
      <c r="AT813" t="s">
        <v>12165</v>
      </c>
      <c r="AU813">
        <v>2006</v>
      </c>
      <c r="AV813">
        <v>15</v>
      </c>
      <c r="AW813">
        <v>12</v>
      </c>
      <c r="AX813" t="s">
        <v>74</v>
      </c>
      <c r="AY813" t="s">
        <v>74</v>
      </c>
      <c r="AZ813" t="s">
        <v>74</v>
      </c>
      <c r="BA813" t="s">
        <v>74</v>
      </c>
      <c r="BB813">
        <v>3681</v>
      </c>
      <c r="BC813">
        <v>3692</v>
      </c>
      <c r="BD813" t="s">
        <v>74</v>
      </c>
      <c r="BE813" t="s">
        <v>12854</v>
      </c>
      <c r="BF813" t="str">
        <f>HYPERLINK("http://dx.doi.org/10.1111/j.1365-294X.2006.03041.x","http://dx.doi.org/10.1111/j.1365-294X.2006.03041.x")</f>
        <v>http://dx.doi.org/10.1111/j.1365-294X.2006.03041.x</v>
      </c>
      <c r="BG813" t="s">
        <v>74</v>
      </c>
      <c r="BH813" t="s">
        <v>74</v>
      </c>
      <c r="BI813">
        <v>12</v>
      </c>
      <c r="BJ813" t="s">
        <v>9183</v>
      </c>
      <c r="BK813" t="s">
        <v>97</v>
      </c>
      <c r="BL813" t="s">
        <v>9184</v>
      </c>
      <c r="BM813" t="s">
        <v>12855</v>
      </c>
      <c r="BN813">
        <v>17032266</v>
      </c>
      <c r="BO813" t="s">
        <v>74</v>
      </c>
      <c r="BP813" t="s">
        <v>74</v>
      </c>
      <c r="BQ813" t="s">
        <v>74</v>
      </c>
      <c r="BR813" t="s">
        <v>100</v>
      </c>
      <c r="BS813" t="s">
        <v>12856</v>
      </c>
      <c r="BT813" t="str">
        <f>HYPERLINK("https%3A%2F%2Fwww.webofscience.com%2Fwos%2Fwoscc%2Ffull-record%2FWOS:000241157400015","View Full Record in Web of Science")</f>
        <v>View Full Record in Web of Science</v>
      </c>
    </row>
    <row r="814" spans="1:72" x14ac:dyDescent="0.15">
      <c r="A814" t="s">
        <v>72</v>
      </c>
      <c r="B814" t="s">
        <v>12857</v>
      </c>
      <c r="C814" t="s">
        <v>74</v>
      </c>
      <c r="D814" t="s">
        <v>74</v>
      </c>
      <c r="E814" t="s">
        <v>74</v>
      </c>
      <c r="F814" t="s">
        <v>12858</v>
      </c>
      <c r="G814" t="s">
        <v>74</v>
      </c>
      <c r="H814" t="s">
        <v>74</v>
      </c>
      <c r="I814" t="s">
        <v>12859</v>
      </c>
      <c r="J814" t="s">
        <v>9168</v>
      </c>
      <c r="K814" t="s">
        <v>74</v>
      </c>
      <c r="L814" t="s">
        <v>74</v>
      </c>
      <c r="M814" t="s">
        <v>78</v>
      </c>
      <c r="N814" t="s">
        <v>79</v>
      </c>
      <c r="O814" t="s">
        <v>74</v>
      </c>
      <c r="P814" t="s">
        <v>74</v>
      </c>
      <c r="Q814" t="s">
        <v>74</v>
      </c>
      <c r="R814" t="s">
        <v>74</v>
      </c>
      <c r="S814" t="s">
        <v>74</v>
      </c>
      <c r="T814" t="s">
        <v>12860</v>
      </c>
      <c r="U814" t="s">
        <v>12861</v>
      </c>
      <c r="V814" t="s">
        <v>12862</v>
      </c>
      <c r="W814" t="s">
        <v>12863</v>
      </c>
      <c r="X814" t="s">
        <v>12864</v>
      </c>
      <c r="Y814" t="s">
        <v>12865</v>
      </c>
      <c r="Z814" t="s">
        <v>12866</v>
      </c>
      <c r="AA814" t="s">
        <v>12867</v>
      </c>
      <c r="AB814" t="s">
        <v>12868</v>
      </c>
      <c r="AC814" t="s">
        <v>4484</v>
      </c>
      <c r="AD814" t="s">
        <v>1254</v>
      </c>
      <c r="AE814" t="s">
        <v>74</v>
      </c>
      <c r="AF814" t="s">
        <v>74</v>
      </c>
      <c r="AG814">
        <v>43</v>
      </c>
      <c r="AH814">
        <v>51</v>
      </c>
      <c r="AI814">
        <v>57</v>
      </c>
      <c r="AJ814">
        <v>2</v>
      </c>
      <c r="AK814">
        <v>15</v>
      </c>
      <c r="AL814" t="s">
        <v>159</v>
      </c>
      <c r="AM814" t="s">
        <v>160</v>
      </c>
      <c r="AN814" t="s">
        <v>161</v>
      </c>
      <c r="AO814" t="s">
        <v>9178</v>
      </c>
      <c r="AP814" t="s">
        <v>9179</v>
      </c>
      <c r="AQ814" t="s">
        <v>74</v>
      </c>
      <c r="AR814" t="s">
        <v>9180</v>
      </c>
      <c r="AS814" t="s">
        <v>9181</v>
      </c>
      <c r="AT814" t="s">
        <v>12165</v>
      </c>
      <c r="AU814">
        <v>2006</v>
      </c>
      <c r="AV814">
        <v>15</v>
      </c>
      <c r="AW814">
        <v>12</v>
      </c>
      <c r="AX814" t="s">
        <v>74</v>
      </c>
      <c r="AY814" t="s">
        <v>74</v>
      </c>
      <c r="AZ814" t="s">
        <v>74</v>
      </c>
      <c r="BA814" t="s">
        <v>74</v>
      </c>
      <c r="BB814">
        <v>3841</v>
      </c>
      <c r="BC814">
        <v>3847</v>
      </c>
      <c r="BD814" t="s">
        <v>74</v>
      </c>
      <c r="BE814" t="s">
        <v>12869</v>
      </c>
      <c r="BF814" t="str">
        <f>HYPERLINK("http://dx.doi.org/10.1111/j.1365-294X.2006.03053.x","http://dx.doi.org/10.1111/j.1365-294X.2006.03053.x")</f>
        <v>http://dx.doi.org/10.1111/j.1365-294X.2006.03053.x</v>
      </c>
      <c r="BG814" t="s">
        <v>74</v>
      </c>
      <c r="BH814" t="s">
        <v>74</v>
      </c>
      <c r="BI814">
        <v>7</v>
      </c>
      <c r="BJ814" t="s">
        <v>9183</v>
      </c>
      <c r="BK814" t="s">
        <v>97</v>
      </c>
      <c r="BL814" t="s">
        <v>9184</v>
      </c>
      <c r="BM814" t="s">
        <v>12855</v>
      </c>
      <c r="BN814">
        <v>17032279</v>
      </c>
      <c r="BO814" t="s">
        <v>74</v>
      </c>
      <c r="BP814" t="s">
        <v>74</v>
      </c>
      <c r="BQ814" t="s">
        <v>74</v>
      </c>
      <c r="BR814" t="s">
        <v>100</v>
      </c>
      <c r="BS814" t="s">
        <v>12870</v>
      </c>
      <c r="BT814" t="str">
        <f>HYPERLINK("https%3A%2F%2Fwww.webofscience.com%2Fwos%2Fwoscc%2Ffull-record%2FWOS:000241157400028","View Full Record in Web of Science")</f>
        <v>View Full Record in Web of Science</v>
      </c>
    </row>
    <row r="815" spans="1:72" x14ac:dyDescent="0.15">
      <c r="A815" t="s">
        <v>72</v>
      </c>
      <c r="B815" t="s">
        <v>12871</v>
      </c>
      <c r="C815" t="s">
        <v>74</v>
      </c>
      <c r="D815" t="s">
        <v>74</v>
      </c>
      <c r="E815" t="s">
        <v>74</v>
      </c>
      <c r="F815" t="s">
        <v>12872</v>
      </c>
      <c r="G815" t="s">
        <v>74</v>
      </c>
      <c r="H815" t="s">
        <v>74</v>
      </c>
      <c r="I815" t="s">
        <v>12873</v>
      </c>
      <c r="J815" t="s">
        <v>12874</v>
      </c>
      <c r="K815" t="s">
        <v>74</v>
      </c>
      <c r="L815" t="s">
        <v>74</v>
      </c>
      <c r="M815" t="s">
        <v>78</v>
      </c>
      <c r="N815" t="s">
        <v>79</v>
      </c>
      <c r="O815" t="s">
        <v>74</v>
      </c>
      <c r="P815" t="s">
        <v>74</v>
      </c>
      <c r="Q815" t="s">
        <v>74</v>
      </c>
      <c r="R815" t="s">
        <v>74</v>
      </c>
      <c r="S815" t="s">
        <v>74</v>
      </c>
      <c r="T815" t="s">
        <v>12875</v>
      </c>
      <c r="U815" t="s">
        <v>12876</v>
      </c>
      <c r="V815" t="s">
        <v>12877</v>
      </c>
      <c r="W815" t="s">
        <v>12878</v>
      </c>
      <c r="X815" t="s">
        <v>12879</v>
      </c>
      <c r="Y815" t="s">
        <v>12880</v>
      </c>
      <c r="Z815" t="s">
        <v>12881</v>
      </c>
      <c r="AA815" t="s">
        <v>12882</v>
      </c>
      <c r="AB815" t="s">
        <v>12883</v>
      </c>
      <c r="AC815" t="s">
        <v>74</v>
      </c>
      <c r="AD815" t="s">
        <v>74</v>
      </c>
      <c r="AE815" t="s">
        <v>74</v>
      </c>
      <c r="AF815" t="s">
        <v>74</v>
      </c>
      <c r="AG815">
        <v>21</v>
      </c>
      <c r="AH815">
        <v>2</v>
      </c>
      <c r="AI815">
        <v>2</v>
      </c>
      <c r="AJ815">
        <v>0</v>
      </c>
      <c r="AK815">
        <v>4</v>
      </c>
      <c r="AL815" t="s">
        <v>3389</v>
      </c>
      <c r="AM815" t="s">
        <v>818</v>
      </c>
      <c r="AN815" t="s">
        <v>3390</v>
      </c>
      <c r="AO815" t="s">
        <v>12884</v>
      </c>
      <c r="AP815" t="s">
        <v>12885</v>
      </c>
      <c r="AQ815" t="s">
        <v>74</v>
      </c>
      <c r="AR815" t="s">
        <v>12886</v>
      </c>
      <c r="AS815" t="s">
        <v>12887</v>
      </c>
      <c r="AT815" t="s">
        <v>12165</v>
      </c>
      <c r="AU815">
        <v>2006</v>
      </c>
      <c r="AV815">
        <v>16</v>
      </c>
      <c r="AW815">
        <v>7</v>
      </c>
      <c r="AX815" t="s">
        <v>74</v>
      </c>
      <c r="AY815" t="s">
        <v>74</v>
      </c>
      <c r="AZ815" t="s">
        <v>74</v>
      </c>
      <c r="BA815" t="s">
        <v>74</v>
      </c>
      <c r="BB815">
        <v>494</v>
      </c>
      <c r="BC815">
        <v>499</v>
      </c>
      <c r="BD815" t="s">
        <v>74</v>
      </c>
      <c r="BE815" t="s">
        <v>12888</v>
      </c>
      <c r="BF815" t="str">
        <f>HYPERLINK("http://dx.doi.org/10.1016/j.numecd.2005.10.006","http://dx.doi.org/10.1016/j.numecd.2005.10.006")</f>
        <v>http://dx.doi.org/10.1016/j.numecd.2005.10.006</v>
      </c>
      <c r="BG815" t="s">
        <v>74</v>
      </c>
      <c r="BH815" t="s">
        <v>74</v>
      </c>
      <c r="BI815">
        <v>6</v>
      </c>
      <c r="BJ815" t="s">
        <v>12889</v>
      </c>
      <c r="BK815" t="s">
        <v>97</v>
      </c>
      <c r="BL815" t="s">
        <v>12890</v>
      </c>
      <c r="BM815" t="s">
        <v>12891</v>
      </c>
      <c r="BN815">
        <v>17015187</v>
      </c>
      <c r="BO815" t="s">
        <v>74</v>
      </c>
      <c r="BP815" t="s">
        <v>74</v>
      </c>
      <c r="BQ815" t="s">
        <v>74</v>
      </c>
      <c r="BR815" t="s">
        <v>100</v>
      </c>
      <c r="BS815" t="s">
        <v>12892</v>
      </c>
      <c r="BT815" t="str">
        <f>HYPERLINK("https%3A%2F%2Fwww.webofscience.com%2Fwos%2Fwoscc%2Ffull-record%2FWOS:000242268500007","View Full Record in Web of Science")</f>
        <v>View Full Record in Web of Science</v>
      </c>
    </row>
    <row r="816" spans="1:72" x14ac:dyDescent="0.15">
      <c r="A816" t="s">
        <v>72</v>
      </c>
      <c r="B816" t="s">
        <v>12893</v>
      </c>
      <c r="C816" t="s">
        <v>74</v>
      </c>
      <c r="D816" t="s">
        <v>74</v>
      </c>
      <c r="E816" t="s">
        <v>74</v>
      </c>
      <c r="F816" t="s">
        <v>12894</v>
      </c>
      <c r="G816" t="s">
        <v>74</v>
      </c>
      <c r="H816" t="s">
        <v>74</v>
      </c>
      <c r="I816" t="s">
        <v>12895</v>
      </c>
      <c r="J816" t="s">
        <v>12896</v>
      </c>
      <c r="K816" t="s">
        <v>74</v>
      </c>
      <c r="L816" t="s">
        <v>74</v>
      </c>
      <c r="M816" t="s">
        <v>78</v>
      </c>
      <c r="N816" t="s">
        <v>79</v>
      </c>
      <c r="O816" t="s">
        <v>74</v>
      </c>
      <c r="P816" t="s">
        <v>74</v>
      </c>
      <c r="Q816" t="s">
        <v>74</v>
      </c>
      <c r="R816" t="s">
        <v>74</v>
      </c>
      <c r="S816" t="s">
        <v>74</v>
      </c>
      <c r="T816" t="s">
        <v>12897</v>
      </c>
      <c r="U816" t="s">
        <v>12898</v>
      </c>
      <c r="V816" t="s">
        <v>12899</v>
      </c>
      <c r="W816" t="s">
        <v>12900</v>
      </c>
      <c r="X816" t="s">
        <v>12901</v>
      </c>
      <c r="Y816" t="s">
        <v>12902</v>
      </c>
      <c r="Z816" t="s">
        <v>12903</v>
      </c>
      <c r="AA816" t="s">
        <v>74</v>
      </c>
      <c r="AB816" t="s">
        <v>12904</v>
      </c>
      <c r="AC816" t="s">
        <v>74</v>
      </c>
      <c r="AD816" t="s">
        <v>74</v>
      </c>
      <c r="AE816" t="s">
        <v>74</v>
      </c>
      <c r="AF816" t="s">
        <v>74</v>
      </c>
      <c r="AG816">
        <v>27</v>
      </c>
      <c r="AH816">
        <v>13</v>
      </c>
      <c r="AI816">
        <v>18</v>
      </c>
      <c r="AJ816">
        <v>2</v>
      </c>
      <c r="AK816">
        <v>15</v>
      </c>
      <c r="AL816" t="s">
        <v>88</v>
      </c>
      <c r="AM816" t="s">
        <v>89</v>
      </c>
      <c r="AN816" t="s">
        <v>90</v>
      </c>
      <c r="AO816" t="s">
        <v>12905</v>
      </c>
      <c r="AP816" t="s">
        <v>12906</v>
      </c>
      <c r="AQ816" t="s">
        <v>74</v>
      </c>
      <c r="AR816" t="s">
        <v>12907</v>
      </c>
      <c r="AS816" t="s">
        <v>12908</v>
      </c>
      <c r="AT816" t="s">
        <v>12165</v>
      </c>
      <c r="AU816">
        <v>2006</v>
      </c>
      <c r="AV816">
        <v>261</v>
      </c>
      <c r="AW816" t="s">
        <v>9712</v>
      </c>
      <c r="AX816" t="s">
        <v>74</v>
      </c>
      <c r="AY816" t="s">
        <v>74</v>
      </c>
      <c r="AZ816" t="s">
        <v>74</v>
      </c>
      <c r="BA816" t="s">
        <v>74</v>
      </c>
      <c r="BB816">
        <v>1</v>
      </c>
      <c r="BC816">
        <v>9</v>
      </c>
      <c r="BD816" t="s">
        <v>74</v>
      </c>
      <c r="BE816" t="s">
        <v>12909</v>
      </c>
      <c r="BF816" t="str">
        <f>HYPERLINK("http://dx.doi.org/10.1007/s00606-006-0425-x","http://dx.doi.org/10.1007/s00606-006-0425-x")</f>
        <v>http://dx.doi.org/10.1007/s00606-006-0425-x</v>
      </c>
      <c r="BG816" t="s">
        <v>74</v>
      </c>
      <c r="BH816" t="s">
        <v>74</v>
      </c>
      <c r="BI816">
        <v>9</v>
      </c>
      <c r="BJ816" t="s">
        <v>12910</v>
      </c>
      <c r="BK816" t="s">
        <v>97</v>
      </c>
      <c r="BL816" t="s">
        <v>12910</v>
      </c>
      <c r="BM816" t="s">
        <v>12911</v>
      </c>
      <c r="BN816" t="s">
        <v>74</v>
      </c>
      <c r="BO816" t="s">
        <v>74</v>
      </c>
      <c r="BP816" t="s">
        <v>74</v>
      </c>
      <c r="BQ816" t="s">
        <v>74</v>
      </c>
      <c r="BR816" t="s">
        <v>100</v>
      </c>
      <c r="BS816" t="s">
        <v>12912</v>
      </c>
      <c r="BT816" t="str">
        <f>HYPERLINK("https%3A%2F%2Fwww.webofscience.com%2Fwos%2Fwoscc%2Ffull-record%2FWOS:000241687600001","View Full Record in Web of Science")</f>
        <v>View Full Record in Web of Science</v>
      </c>
    </row>
    <row r="817" spans="1:72" x14ac:dyDescent="0.15">
      <c r="A817" t="s">
        <v>72</v>
      </c>
      <c r="B817" t="s">
        <v>12913</v>
      </c>
      <c r="C817" t="s">
        <v>74</v>
      </c>
      <c r="D817" t="s">
        <v>74</v>
      </c>
      <c r="E817" t="s">
        <v>74</v>
      </c>
      <c r="F817" t="s">
        <v>12914</v>
      </c>
      <c r="G817" t="s">
        <v>74</v>
      </c>
      <c r="H817" t="s">
        <v>74</v>
      </c>
      <c r="I817" t="s">
        <v>12915</v>
      </c>
      <c r="J817" t="s">
        <v>5588</v>
      </c>
      <c r="K817" t="s">
        <v>74</v>
      </c>
      <c r="L817" t="s">
        <v>74</v>
      </c>
      <c r="M817" t="s">
        <v>78</v>
      </c>
      <c r="N817" t="s">
        <v>79</v>
      </c>
      <c r="O817" t="s">
        <v>74</v>
      </c>
      <c r="P817" t="s">
        <v>74</v>
      </c>
      <c r="Q817" t="s">
        <v>74</v>
      </c>
      <c r="R817" t="s">
        <v>74</v>
      </c>
      <c r="S817" t="s">
        <v>74</v>
      </c>
      <c r="T817" t="s">
        <v>74</v>
      </c>
      <c r="U817" t="s">
        <v>12916</v>
      </c>
      <c r="V817" t="s">
        <v>12917</v>
      </c>
      <c r="W817" t="s">
        <v>12918</v>
      </c>
      <c r="X817" t="s">
        <v>12919</v>
      </c>
      <c r="Y817" t="s">
        <v>12920</v>
      </c>
      <c r="Z817" t="s">
        <v>12921</v>
      </c>
      <c r="AA817" t="s">
        <v>12922</v>
      </c>
      <c r="AB817" t="s">
        <v>12923</v>
      </c>
      <c r="AC817" t="s">
        <v>74</v>
      </c>
      <c r="AD817" t="s">
        <v>74</v>
      </c>
      <c r="AE817" t="s">
        <v>74</v>
      </c>
      <c r="AF817" t="s">
        <v>74</v>
      </c>
      <c r="AG817">
        <v>50</v>
      </c>
      <c r="AH817">
        <v>17</v>
      </c>
      <c r="AI817">
        <v>20</v>
      </c>
      <c r="AJ817">
        <v>0</v>
      </c>
      <c r="AK817">
        <v>11</v>
      </c>
      <c r="AL817" t="s">
        <v>613</v>
      </c>
      <c r="AM817" t="s">
        <v>678</v>
      </c>
      <c r="AN817" t="s">
        <v>5667</v>
      </c>
      <c r="AO817" t="s">
        <v>5597</v>
      </c>
      <c r="AP817" t="s">
        <v>5598</v>
      </c>
      <c r="AQ817" t="s">
        <v>74</v>
      </c>
      <c r="AR817" t="s">
        <v>5599</v>
      </c>
      <c r="AS817" t="s">
        <v>5600</v>
      </c>
      <c r="AT817" t="s">
        <v>12165</v>
      </c>
      <c r="AU817">
        <v>2006</v>
      </c>
      <c r="AV817">
        <v>29</v>
      </c>
      <c r="AW817">
        <v>11</v>
      </c>
      <c r="AX817" t="s">
        <v>74</v>
      </c>
      <c r="AY817" t="s">
        <v>74</v>
      </c>
      <c r="AZ817" t="s">
        <v>74</v>
      </c>
      <c r="BA817" t="s">
        <v>74</v>
      </c>
      <c r="BB817">
        <v>909</v>
      </c>
      <c r="BC817">
        <v>916</v>
      </c>
      <c r="BD817" t="s">
        <v>74</v>
      </c>
      <c r="BE817" t="s">
        <v>12924</v>
      </c>
      <c r="BF817" t="str">
        <f>HYPERLINK("http://dx.doi.org/10.1007/s00300-006-0131-8","http://dx.doi.org/10.1007/s00300-006-0131-8")</f>
        <v>http://dx.doi.org/10.1007/s00300-006-0131-8</v>
      </c>
      <c r="BG817" t="s">
        <v>74</v>
      </c>
      <c r="BH817" t="s">
        <v>74</v>
      </c>
      <c r="BI817">
        <v>8</v>
      </c>
      <c r="BJ817" t="s">
        <v>5602</v>
      </c>
      <c r="BK817" t="s">
        <v>97</v>
      </c>
      <c r="BL817" t="s">
        <v>5603</v>
      </c>
      <c r="BM817" t="s">
        <v>12925</v>
      </c>
      <c r="BN817" t="s">
        <v>74</v>
      </c>
      <c r="BO817" t="s">
        <v>74</v>
      </c>
      <c r="BP817" t="s">
        <v>74</v>
      </c>
      <c r="BQ817" t="s">
        <v>74</v>
      </c>
      <c r="BR817" t="s">
        <v>100</v>
      </c>
      <c r="BS817" t="s">
        <v>12926</v>
      </c>
      <c r="BT817" t="str">
        <f>HYPERLINK("https%3A%2F%2Fwww.webofscience.com%2Fwos%2Fwoscc%2Ffull-record%2FWOS:000240902500001","View Full Record in Web of Science")</f>
        <v>View Full Record in Web of Science</v>
      </c>
    </row>
    <row r="818" spans="1:72" x14ac:dyDescent="0.15">
      <c r="A818" t="s">
        <v>72</v>
      </c>
      <c r="B818" t="s">
        <v>12927</v>
      </c>
      <c r="C818" t="s">
        <v>74</v>
      </c>
      <c r="D818" t="s">
        <v>74</v>
      </c>
      <c r="E818" t="s">
        <v>74</v>
      </c>
      <c r="F818" t="s">
        <v>12928</v>
      </c>
      <c r="G818" t="s">
        <v>74</v>
      </c>
      <c r="H818" t="s">
        <v>74</v>
      </c>
      <c r="I818" t="s">
        <v>12929</v>
      </c>
      <c r="J818" t="s">
        <v>5588</v>
      </c>
      <c r="K818" t="s">
        <v>74</v>
      </c>
      <c r="L818" t="s">
        <v>74</v>
      </c>
      <c r="M818" t="s">
        <v>78</v>
      </c>
      <c r="N818" t="s">
        <v>79</v>
      </c>
      <c r="O818" t="s">
        <v>74</v>
      </c>
      <c r="P818" t="s">
        <v>74</v>
      </c>
      <c r="Q818" t="s">
        <v>74</v>
      </c>
      <c r="R818" t="s">
        <v>74</v>
      </c>
      <c r="S818" t="s">
        <v>74</v>
      </c>
      <c r="T818" t="s">
        <v>74</v>
      </c>
      <c r="U818" t="s">
        <v>12930</v>
      </c>
      <c r="V818" t="s">
        <v>12931</v>
      </c>
      <c r="W818" t="s">
        <v>12932</v>
      </c>
      <c r="X818" t="s">
        <v>1175</v>
      </c>
      <c r="Y818" t="s">
        <v>12933</v>
      </c>
      <c r="Z818" t="s">
        <v>12934</v>
      </c>
      <c r="AA818" t="s">
        <v>12935</v>
      </c>
      <c r="AB818" t="s">
        <v>12936</v>
      </c>
      <c r="AC818" t="s">
        <v>74</v>
      </c>
      <c r="AD818" t="s">
        <v>74</v>
      </c>
      <c r="AE818" t="s">
        <v>74</v>
      </c>
      <c r="AF818" t="s">
        <v>74</v>
      </c>
      <c r="AG818">
        <v>44</v>
      </c>
      <c r="AH818">
        <v>14</v>
      </c>
      <c r="AI818">
        <v>16</v>
      </c>
      <c r="AJ818">
        <v>0</v>
      </c>
      <c r="AK818">
        <v>15</v>
      </c>
      <c r="AL818" t="s">
        <v>613</v>
      </c>
      <c r="AM818" t="s">
        <v>678</v>
      </c>
      <c r="AN818" t="s">
        <v>679</v>
      </c>
      <c r="AO818" t="s">
        <v>5597</v>
      </c>
      <c r="AP818" t="s">
        <v>5598</v>
      </c>
      <c r="AQ818" t="s">
        <v>74</v>
      </c>
      <c r="AR818" t="s">
        <v>5599</v>
      </c>
      <c r="AS818" t="s">
        <v>5600</v>
      </c>
      <c r="AT818" t="s">
        <v>12165</v>
      </c>
      <c r="AU818">
        <v>2006</v>
      </c>
      <c r="AV818">
        <v>29</v>
      </c>
      <c r="AW818">
        <v>11</v>
      </c>
      <c r="AX818" t="s">
        <v>74</v>
      </c>
      <c r="AY818" t="s">
        <v>74</v>
      </c>
      <c r="AZ818" t="s">
        <v>74</v>
      </c>
      <c r="BA818" t="s">
        <v>74</v>
      </c>
      <c r="BB818">
        <v>917</v>
      </c>
      <c r="BC818">
        <v>926</v>
      </c>
      <c r="BD818" t="s">
        <v>74</v>
      </c>
      <c r="BE818" t="s">
        <v>12937</v>
      </c>
      <c r="BF818" t="str">
        <f>HYPERLINK("http://dx.doi.org/10.1007/s00300-006-0133-6","http://dx.doi.org/10.1007/s00300-006-0133-6")</f>
        <v>http://dx.doi.org/10.1007/s00300-006-0133-6</v>
      </c>
      <c r="BG818" t="s">
        <v>74</v>
      </c>
      <c r="BH818" t="s">
        <v>74</v>
      </c>
      <c r="BI818">
        <v>10</v>
      </c>
      <c r="BJ818" t="s">
        <v>5602</v>
      </c>
      <c r="BK818" t="s">
        <v>97</v>
      </c>
      <c r="BL818" t="s">
        <v>5603</v>
      </c>
      <c r="BM818" t="s">
        <v>12925</v>
      </c>
      <c r="BN818" t="s">
        <v>74</v>
      </c>
      <c r="BO818" t="s">
        <v>74</v>
      </c>
      <c r="BP818" t="s">
        <v>74</v>
      </c>
      <c r="BQ818" t="s">
        <v>74</v>
      </c>
      <c r="BR818" t="s">
        <v>100</v>
      </c>
      <c r="BS818" t="s">
        <v>12938</v>
      </c>
      <c r="BT818" t="str">
        <f>HYPERLINK("https%3A%2F%2Fwww.webofscience.com%2Fwos%2Fwoscc%2Ffull-record%2FWOS:000240902500002","View Full Record in Web of Science")</f>
        <v>View Full Record in Web of Science</v>
      </c>
    </row>
    <row r="819" spans="1:72" x14ac:dyDescent="0.15">
      <c r="A819" t="s">
        <v>72</v>
      </c>
      <c r="B819" t="s">
        <v>12939</v>
      </c>
      <c r="C819" t="s">
        <v>74</v>
      </c>
      <c r="D819" t="s">
        <v>74</v>
      </c>
      <c r="E819" t="s">
        <v>74</v>
      </c>
      <c r="F819" t="s">
        <v>12940</v>
      </c>
      <c r="G819" t="s">
        <v>74</v>
      </c>
      <c r="H819" t="s">
        <v>74</v>
      </c>
      <c r="I819" t="s">
        <v>12941</v>
      </c>
      <c r="J819" t="s">
        <v>5588</v>
      </c>
      <c r="K819" t="s">
        <v>74</v>
      </c>
      <c r="L819" t="s">
        <v>74</v>
      </c>
      <c r="M819" t="s">
        <v>78</v>
      </c>
      <c r="N819" t="s">
        <v>79</v>
      </c>
      <c r="O819" t="s">
        <v>74</v>
      </c>
      <c r="P819" t="s">
        <v>74</v>
      </c>
      <c r="Q819" t="s">
        <v>74</v>
      </c>
      <c r="R819" t="s">
        <v>74</v>
      </c>
      <c r="S819" t="s">
        <v>74</v>
      </c>
      <c r="T819" t="s">
        <v>74</v>
      </c>
      <c r="U819" t="s">
        <v>12942</v>
      </c>
      <c r="V819" t="s">
        <v>12943</v>
      </c>
      <c r="W819" t="s">
        <v>12944</v>
      </c>
      <c r="X819" t="s">
        <v>8777</v>
      </c>
      <c r="Y819" t="s">
        <v>12945</v>
      </c>
      <c r="Z819" t="s">
        <v>12946</v>
      </c>
      <c r="AA819" t="s">
        <v>74</v>
      </c>
      <c r="AB819" t="s">
        <v>74</v>
      </c>
      <c r="AC819" t="s">
        <v>74</v>
      </c>
      <c r="AD819" t="s">
        <v>74</v>
      </c>
      <c r="AE819" t="s">
        <v>74</v>
      </c>
      <c r="AF819" t="s">
        <v>74</v>
      </c>
      <c r="AG819">
        <v>50</v>
      </c>
      <c r="AH819">
        <v>25</v>
      </c>
      <c r="AI819">
        <v>26</v>
      </c>
      <c r="AJ819">
        <v>0</v>
      </c>
      <c r="AK819">
        <v>13</v>
      </c>
      <c r="AL819" t="s">
        <v>613</v>
      </c>
      <c r="AM819" t="s">
        <v>678</v>
      </c>
      <c r="AN819" t="s">
        <v>4336</v>
      </c>
      <c r="AO819" t="s">
        <v>5597</v>
      </c>
      <c r="AP819" t="s">
        <v>74</v>
      </c>
      <c r="AQ819" t="s">
        <v>74</v>
      </c>
      <c r="AR819" t="s">
        <v>5599</v>
      </c>
      <c r="AS819" t="s">
        <v>5600</v>
      </c>
      <c r="AT819" t="s">
        <v>12165</v>
      </c>
      <c r="AU819">
        <v>2006</v>
      </c>
      <c r="AV819">
        <v>29</v>
      </c>
      <c r="AW819">
        <v>11</v>
      </c>
      <c r="AX819" t="s">
        <v>74</v>
      </c>
      <c r="AY819" t="s">
        <v>74</v>
      </c>
      <c r="AZ819" t="s">
        <v>74</v>
      </c>
      <c r="BA819" t="s">
        <v>74</v>
      </c>
      <c r="BB819">
        <v>927</v>
      </c>
      <c r="BC819">
        <v>935</v>
      </c>
      <c r="BD819" t="s">
        <v>74</v>
      </c>
      <c r="BE819" t="s">
        <v>12947</v>
      </c>
      <c r="BF819" t="str">
        <f>HYPERLINK("http://dx.doi.org/10.1007/s00300-006-0134-5","http://dx.doi.org/10.1007/s00300-006-0134-5")</f>
        <v>http://dx.doi.org/10.1007/s00300-006-0134-5</v>
      </c>
      <c r="BG819" t="s">
        <v>74</v>
      </c>
      <c r="BH819" t="s">
        <v>74</v>
      </c>
      <c r="BI819">
        <v>9</v>
      </c>
      <c r="BJ819" t="s">
        <v>5602</v>
      </c>
      <c r="BK819" t="s">
        <v>97</v>
      </c>
      <c r="BL819" t="s">
        <v>5603</v>
      </c>
      <c r="BM819" t="s">
        <v>12925</v>
      </c>
      <c r="BN819" t="s">
        <v>74</v>
      </c>
      <c r="BO819" t="s">
        <v>74</v>
      </c>
      <c r="BP819" t="s">
        <v>74</v>
      </c>
      <c r="BQ819" t="s">
        <v>74</v>
      </c>
      <c r="BR819" t="s">
        <v>100</v>
      </c>
      <c r="BS819" t="s">
        <v>12948</v>
      </c>
      <c r="BT819" t="str">
        <f>HYPERLINK("https%3A%2F%2Fwww.webofscience.com%2Fwos%2Fwoscc%2Ffull-record%2FWOS:000240902500003","View Full Record in Web of Science")</f>
        <v>View Full Record in Web of Science</v>
      </c>
    </row>
    <row r="820" spans="1:72" x14ac:dyDescent="0.15">
      <c r="A820" t="s">
        <v>72</v>
      </c>
      <c r="B820" t="s">
        <v>12949</v>
      </c>
      <c r="C820" t="s">
        <v>74</v>
      </c>
      <c r="D820" t="s">
        <v>74</v>
      </c>
      <c r="E820" t="s">
        <v>74</v>
      </c>
      <c r="F820" t="s">
        <v>12950</v>
      </c>
      <c r="G820" t="s">
        <v>74</v>
      </c>
      <c r="H820" t="s">
        <v>74</v>
      </c>
      <c r="I820" t="s">
        <v>12951</v>
      </c>
      <c r="J820" t="s">
        <v>5588</v>
      </c>
      <c r="K820" t="s">
        <v>74</v>
      </c>
      <c r="L820" t="s">
        <v>74</v>
      </c>
      <c r="M820" t="s">
        <v>78</v>
      </c>
      <c r="N820" t="s">
        <v>79</v>
      </c>
      <c r="O820" t="s">
        <v>74</v>
      </c>
      <c r="P820" t="s">
        <v>74</v>
      </c>
      <c r="Q820" t="s">
        <v>74</v>
      </c>
      <c r="R820" t="s">
        <v>74</v>
      </c>
      <c r="S820" t="s">
        <v>74</v>
      </c>
      <c r="T820" t="s">
        <v>74</v>
      </c>
      <c r="U820" t="s">
        <v>12952</v>
      </c>
      <c r="V820" t="s">
        <v>12953</v>
      </c>
      <c r="W820" t="s">
        <v>12954</v>
      </c>
      <c r="X820" t="s">
        <v>12955</v>
      </c>
      <c r="Y820" t="s">
        <v>12956</v>
      </c>
      <c r="Z820" t="s">
        <v>12957</v>
      </c>
      <c r="AA820" t="s">
        <v>12958</v>
      </c>
      <c r="AB820" t="s">
        <v>12959</v>
      </c>
      <c r="AC820" t="s">
        <v>74</v>
      </c>
      <c r="AD820" t="s">
        <v>74</v>
      </c>
      <c r="AE820" t="s">
        <v>74</v>
      </c>
      <c r="AF820" t="s">
        <v>74</v>
      </c>
      <c r="AG820">
        <v>63</v>
      </c>
      <c r="AH820">
        <v>35</v>
      </c>
      <c r="AI820">
        <v>39</v>
      </c>
      <c r="AJ820">
        <v>0</v>
      </c>
      <c r="AK820">
        <v>19</v>
      </c>
      <c r="AL820" t="s">
        <v>613</v>
      </c>
      <c r="AM820" t="s">
        <v>678</v>
      </c>
      <c r="AN820" t="s">
        <v>4336</v>
      </c>
      <c r="AO820" t="s">
        <v>5597</v>
      </c>
      <c r="AP820" t="s">
        <v>74</v>
      </c>
      <c r="AQ820" t="s">
        <v>74</v>
      </c>
      <c r="AR820" t="s">
        <v>5599</v>
      </c>
      <c r="AS820" t="s">
        <v>5600</v>
      </c>
      <c r="AT820" t="s">
        <v>12165</v>
      </c>
      <c r="AU820">
        <v>2006</v>
      </c>
      <c r="AV820">
        <v>29</v>
      </c>
      <c r="AW820">
        <v>11</v>
      </c>
      <c r="AX820" t="s">
        <v>74</v>
      </c>
      <c r="AY820" t="s">
        <v>74</v>
      </c>
      <c r="AZ820" t="s">
        <v>74</v>
      </c>
      <c r="BA820" t="s">
        <v>74</v>
      </c>
      <c r="BB820">
        <v>936</v>
      </c>
      <c r="BC820">
        <v>949</v>
      </c>
      <c r="BD820" t="s">
        <v>74</v>
      </c>
      <c r="BE820" t="s">
        <v>12960</v>
      </c>
      <c r="BF820" t="str">
        <f>HYPERLINK("http://dx.doi.org/10.1007/s00300-006-0135-4","http://dx.doi.org/10.1007/s00300-006-0135-4")</f>
        <v>http://dx.doi.org/10.1007/s00300-006-0135-4</v>
      </c>
      <c r="BG820" t="s">
        <v>74</v>
      </c>
      <c r="BH820" t="s">
        <v>74</v>
      </c>
      <c r="BI820">
        <v>14</v>
      </c>
      <c r="BJ820" t="s">
        <v>5602</v>
      </c>
      <c r="BK820" t="s">
        <v>97</v>
      </c>
      <c r="BL820" t="s">
        <v>5603</v>
      </c>
      <c r="BM820" t="s">
        <v>12925</v>
      </c>
      <c r="BN820" t="s">
        <v>74</v>
      </c>
      <c r="BO820" t="s">
        <v>74</v>
      </c>
      <c r="BP820" t="s">
        <v>74</v>
      </c>
      <c r="BQ820" t="s">
        <v>74</v>
      </c>
      <c r="BR820" t="s">
        <v>100</v>
      </c>
      <c r="BS820" t="s">
        <v>12961</v>
      </c>
      <c r="BT820" t="str">
        <f>HYPERLINK("https%3A%2F%2Fwww.webofscience.com%2Fwos%2Fwoscc%2Ffull-record%2FWOS:000240902500004","View Full Record in Web of Science")</f>
        <v>View Full Record in Web of Science</v>
      </c>
    </row>
    <row r="821" spans="1:72" x14ac:dyDescent="0.15">
      <c r="A821" t="s">
        <v>72</v>
      </c>
      <c r="B821" t="s">
        <v>12962</v>
      </c>
      <c r="C821" t="s">
        <v>74</v>
      </c>
      <c r="D821" t="s">
        <v>74</v>
      </c>
      <c r="E821" t="s">
        <v>74</v>
      </c>
      <c r="F821" t="s">
        <v>12963</v>
      </c>
      <c r="G821" t="s">
        <v>74</v>
      </c>
      <c r="H821" t="s">
        <v>74</v>
      </c>
      <c r="I821" t="s">
        <v>12964</v>
      </c>
      <c r="J821" t="s">
        <v>5588</v>
      </c>
      <c r="K821" t="s">
        <v>74</v>
      </c>
      <c r="L821" t="s">
        <v>74</v>
      </c>
      <c r="M821" t="s">
        <v>78</v>
      </c>
      <c r="N821" t="s">
        <v>79</v>
      </c>
      <c r="O821" t="s">
        <v>74</v>
      </c>
      <c r="P821" t="s">
        <v>74</v>
      </c>
      <c r="Q821" t="s">
        <v>74</v>
      </c>
      <c r="R821" t="s">
        <v>74</v>
      </c>
      <c r="S821" t="s">
        <v>74</v>
      </c>
      <c r="T821" t="s">
        <v>74</v>
      </c>
      <c r="U821" t="s">
        <v>12965</v>
      </c>
      <c r="V821" t="s">
        <v>12966</v>
      </c>
      <c r="W821" t="s">
        <v>4654</v>
      </c>
      <c r="X821" t="s">
        <v>514</v>
      </c>
      <c r="Y821" t="s">
        <v>12967</v>
      </c>
      <c r="Z821" t="s">
        <v>12968</v>
      </c>
      <c r="AA821" t="s">
        <v>74</v>
      </c>
      <c r="AB821" t="s">
        <v>74</v>
      </c>
      <c r="AC821" t="s">
        <v>4321</v>
      </c>
      <c r="AD821" t="s">
        <v>158</v>
      </c>
      <c r="AE821" t="s">
        <v>74</v>
      </c>
      <c r="AF821" t="s">
        <v>74</v>
      </c>
      <c r="AG821">
        <v>31</v>
      </c>
      <c r="AH821">
        <v>15</v>
      </c>
      <c r="AI821">
        <v>16</v>
      </c>
      <c r="AJ821">
        <v>0</v>
      </c>
      <c r="AK821">
        <v>6</v>
      </c>
      <c r="AL821" t="s">
        <v>613</v>
      </c>
      <c r="AM821" t="s">
        <v>678</v>
      </c>
      <c r="AN821" t="s">
        <v>5667</v>
      </c>
      <c r="AO821" t="s">
        <v>5597</v>
      </c>
      <c r="AP821" t="s">
        <v>5598</v>
      </c>
      <c r="AQ821" t="s">
        <v>74</v>
      </c>
      <c r="AR821" t="s">
        <v>5599</v>
      </c>
      <c r="AS821" t="s">
        <v>5600</v>
      </c>
      <c r="AT821" t="s">
        <v>12165</v>
      </c>
      <c r="AU821">
        <v>2006</v>
      </c>
      <c r="AV821">
        <v>29</v>
      </c>
      <c r="AW821">
        <v>11</v>
      </c>
      <c r="AX821" t="s">
        <v>74</v>
      </c>
      <c r="AY821" t="s">
        <v>74</v>
      </c>
      <c r="AZ821" t="s">
        <v>74</v>
      </c>
      <c r="BA821" t="s">
        <v>74</v>
      </c>
      <c r="BB821">
        <v>950</v>
      </c>
      <c r="BC821">
        <v>962</v>
      </c>
      <c r="BD821" t="s">
        <v>74</v>
      </c>
      <c r="BE821" t="s">
        <v>12969</v>
      </c>
      <c r="BF821" t="str">
        <f>HYPERLINK("http://dx.doi.org/10.1007/s00300-006-0136-3","http://dx.doi.org/10.1007/s00300-006-0136-3")</f>
        <v>http://dx.doi.org/10.1007/s00300-006-0136-3</v>
      </c>
      <c r="BG821" t="s">
        <v>74</v>
      </c>
      <c r="BH821" t="s">
        <v>74</v>
      </c>
      <c r="BI821">
        <v>13</v>
      </c>
      <c r="BJ821" t="s">
        <v>5602</v>
      </c>
      <c r="BK821" t="s">
        <v>97</v>
      </c>
      <c r="BL821" t="s">
        <v>5603</v>
      </c>
      <c r="BM821" t="s">
        <v>12925</v>
      </c>
      <c r="BN821" t="s">
        <v>74</v>
      </c>
      <c r="BO821" t="s">
        <v>74</v>
      </c>
      <c r="BP821" t="s">
        <v>74</v>
      </c>
      <c r="BQ821" t="s">
        <v>74</v>
      </c>
      <c r="BR821" t="s">
        <v>100</v>
      </c>
      <c r="BS821" t="s">
        <v>12970</v>
      </c>
      <c r="BT821" t="str">
        <f>HYPERLINK("https%3A%2F%2Fwww.webofscience.com%2Fwos%2Fwoscc%2Ffull-record%2FWOS:000240902500005","View Full Record in Web of Science")</f>
        <v>View Full Record in Web of Science</v>
      </c>
    </row>
    <row r="822" spans="1:72" x14ac:dyDescent="0.15">
      <c r="A822" t="s">
        <v>72</v>
      </c>
      <c r="B822" t="s">
        <v>12971</v>
      </c>
      <c r="C822" t="s">
        <v>74</v>
      </c>
      <c r="D822" t="s">
        <v>74</v>
      </c>
      <c r="E822" t="s">
        <v>74</v>
      </c>
      <c r="F822" t="s">
        <v>12972</v>
      </c>
      <c r="G822" t="s">
        <v>74</v>
      </c>
      <c r="H822" t="s">
        <v>74</v>
      </c>
      <c r="I822" t="s">
        <v>12973</v>
      </c>
      <c r="J822" t="s">
        <v>5588</v>
      </c>
      <c r="K822" t="s">
        <v>74</v>
      </c>
      <c r="L822" t="s">
        <v>74</v>
      </c>
      <c r="M822" t="s">
        <v>78</v>
      </c>
      <c r="N822" t="s">
        <v>79</v>
      </c>
      <c r="O822" t="s">
        <v>74</v>
      </c>
      <c r="P822" t="s">
        <v>74</v>
      </c>
      <c r="Q822" t="s">
        <v>74</v>
      </c>
      <c r="R822" t="s">
        <v>74</v>
      </c>
      <c r="S822" t="s">
        <v>74</v>
      </c>
      <c r="T822" t="s">
        <v>74</v>
      </c>
      <c r="U822" t="s">
        <v>12974</v>
      </c>
      <c r="V822" t="s">
        <v>12975</v>
      </c>
      <c r="W822" t="s">
        <v>12976</v>
      </c>
      <c r="X822" t="s">
        <v>12977</v>
      </c>
      <c r="Y822" t="s">
        <v>12978</v>
      </c>
      <c r="Z822" t="s">
        <v>12979</v>
      </c>
      <c r="AA822" t="s">
        <v>12980</v>
      </c>
      <c r="AB822" t="s">
        <v>12981</v>
      </c>
      <c r="AC822" t="s">
        <v>74</v>
      </c>
      <c r="AD822" t="s">
        <v>74</v>
      </c>
      <c r="AE822" t="s">
        <v>74</v>
      </c>
      <c r="AF822" t="s">
        <v>74</v>
      </c>
      <c r="AG822">
        <v>48</v>
      </c>
      <c r="AH822">
        <v>12</v>
      </c>
      <c r="AI822">
        <v>12</v>
      </c>
      <c r="AJ822">
        <v>1</v>
      </c>
      <c r="AK822">
        <v>12</v>
      </c>
      <c r="AL822" t="s">
        <v>613</v>
      </c>
      <c r="AM822" t="s">
        <v>678</v>
      </c>
      <c r="AN822" t="s">
        <v>5667</v>
      </c>
      <c r="AO822" t="s">
        <v>5597</v>
      </c>
      <c r="AP822" t="s">
        <v>74</v>
      </c>
      <c r="AQ822" t="s">
        <v>74</v>
      </c>
      <c r="AR822" t="s">
        <v>5599</v>
      </c>
      <c r="AS822" t="s">
        <v>5600</v>
      </c>
      <c r="AT822" t="s">
        <v>12165</v>
      </c>
      <c r="AU822">
        <v>2006</v>
      </c>
      <c r="AV822">
        <v>29</v>
      </c>
      <c r="AW822">
        <v>11</v>
      </c>
      <c r="AX822" t="s">
        <v>74</v>
      </c>
      <c r="AY822" t="s">
        <v>74</v>
      </c>
      <c r="AZ822" t="s">
        <v>74</v>
      </c>
      <c r="BA822" t="s">
        <v>74</v>
      </c>
      <c r="BB822">
        <v>963</v>
      </c>
      <c r="BC822">
        <v>970</v>
      </c>
      <c r="BD822" t="s">
        <v>74</v>
      </c>
      <c r="BE822" t="s">
        <v>12982</v>
      </c>
      <c r="BF822" t="str">
        <f>HYPERLINK("http://dx.doi.org/10.1007/s00300-006-0138-1","http://dx.doi.org/10.1007/s00300-006-0138-1")</f>
        <v>http://dx.doi.org/10.1007/s00300-006-0138-1</v>
      </c>
      <c r="BG822" t="s">
        <v>74</v>
      </c>
      <c r="BH822" t="s">
        <v>74</v>
      </c>
      <c r="BI822">
        <v>8</v>
      </c>
      <c r="BJ822" t="s">
        <v>5602</v>
      </c>
      <c r="BK822" t="s">
        <v>97</v>
      </c>
      <c r="BL822" t="s">
        <v>5603</v>
      </c>
      <c r="BM822" t="s">
        <v>12925</v>
      </c>
      <c r="BN822" t="s">
        <v>74</v>
      </c>
      <c r="BO822" t="s">
        <v>74</v>
      </c>
      <c r="BP822" t="s">
        <v>74</v>
      </c>
      <c r="BQ822" t="s">
        <v>74</v>
      </c>
      <c r="BR822" t="s">
        <v>100</v>
      </c>
      <c r="BS822" t="s">
        <v>12983</v>
      </c>
      <c r="BT822" t="str">
        <f>HYPERLINK("https%3A%2F%2Fwww.webofscience.com%2Fwos%2Fwoscc%2Ffull-record%2FWOS:000240902500006","View Full Record in Web of Science")</f>
        <v>View Full Record in Web of Science</v>
      </c>
    </row>
    <row r="823" spans="1:72" x14ac:dyDescent="0.15">
      <c r="A823" t="s">
        <v>72</v>
      </c>
      <c r="B823" t="s">
        <v>12984</v>
      </c>
      <c r="C823" t="s">
        <v>74</v>
      </c>
      <c r="D823" t="s">
        <v>74</v>
      </c>
      <c r="E823" t="s">
        <v>74</v>
      </c>
      <c r="F823" t="s">
        <v>12985</v>
      </c>
      <c r="G823" t="s">
        <v>74</v>
      </c>
      <c r="H823" t="s">
        <v>74</v>
      </c>
      <c r="I823" t="s">
        <v>12986</v>
      </c>
      <c r="J823" t="s">
        <v>5588</v>
      </c>
      <c r="K823" t="s">
        <v>74</v>
      </c>
      <c r="L823" t="s">
        <v>74</v>
      </c>
      <c r="M823" t="s">
        <v>78</v>
      </c>
      <c r="N823" t="s">
        <v>79</v>
      </c>
      <c r="O823" t="s">
        <v>74</v>
      </c>
      <c r="P823" t="s">
        <v>74</v>
      </c>
      <c r="Q823" t="s">
        <v>74</v>
      </c>
      <c r="R823" t="s">
        <v>74</v>
      </c>
      <c r="S823" t="s">
        <v>74</v>
      </c>
      <c r="T823" t="s">
        <v>74</v>
      </c>
      <c r="U823" t="s">
        <v>12987</v>
      </c>
      <c r="V823" t="s">
        <v>12988</v>
      </c>
      <c r="W823" t="s">
        <v>12989</v>
      </c>
      <c r="X823" t="s">
        <v>12990</v>
      </c>
      <c r="Y823" t="s">
        <v>12991</v>
      </c>
      <c r="Z823" t="s">
        <v>12992</v>
      </c>
      <c r="AA823" t="s">
        <v>74</v>
      </c>
      <c r="AB823" t="s">
        <v>74</v>
      </c>
      <c r="AC823" t="s">
        <v>74</v>
      </c>
      <c r="AD823" t="s">
        <v>74</v>
      </c>
      <c r="AE823" t="s">
        <v>74</v>
      </c>
      <c r="AF823" t="s">
        <v>74</v>
      </c>
      <c r="AG823">
        <v>50</v>
      </c>
      <c r="AH823">
        <v>14</v>
      </c>
      <c r="AI823">
        <v>17</v>
      </c>
      <c r="AJ823">
        <v>0</v>
      </c>
      <c r="AK823">
        <v>11</v>
      </c>
      <c r="AL823" t="s">
        <v>613</v>
      </c>
      <c r="AM823" t="s">
        <v>678</v>
      </c>
      <c r="AN823" t="s">
        <v>679</v>
      </c>
      <c r="AO823" t="s">
        <v>5597</v>
      </c>
      <c r="AP823" t="s">
        <v>5598</v>
      </c>
      <c r="AQ823" t="s">
        <v>74</v>
      </c>
      <c r="AR823" t="s">
        <v>5599</v>
      </c>
      <c r="AS823" t="s">
        <v>5600</v>
      </c>
      <c r="AT823" t="s">
        <v>12165</v>
      </c>
      <c r="AU823">
        <v>2006</v>
      </c>
      <c r="AV823">
        <v>29</v>
      </c>
      <c r="AW823">
        <v>11</v>
      </c>
      <c r="AX823" t="s">
        <v>74</v>
      </c>
      <c r="AY823" t="s">
        <v>74</v>
      </c>
      <c r="AZ823" t="s">
        <v>74</v>
      </c>
      <c r="BA823" t="s">
        <v>74</v>
      </c>
      <c r="BB823">
        <v>971</v>
      </c>
      <c r="BC823">
        <v>977</v>
      </c>
      <c r="BD823" t="s">
        <v>74</v>
      </c>
      <c r="BE823" t="s">
        <v>12993</v>
      </c>
      <c r="BF823" t="str">
        <f>HYPERLINK("http://dx.doi.org/10.1007/s00300-006-0139-0","http://dx.doi.org/10.1007/s00300-006-0139-0")</f>
        <v>http://dx.doi.org/10.1007/s00300-006-0139-0</v>
      </c>
      <c r="BG823" t="s">
        <v>74</v>
      </c>
      <c r="BH823" t="s">
        <v>74</v>
      </c>
      <c r="BI823">
        <v>7</v>
      </c>
      <c r="BJ823" t="s">
        <v>5602</v>
      </c>
      <c r="BK823" t="s">
        <v>97</v>
      </c>
      <c r="BL823" t="s">
        <v>5603</v>
      </c>
      <c r="BM823" t="s">
        <v>12925</v>
      </c>
      <c r="BN823" t="s">
        <v>74</v>
      </c>
      <c r="BO823" t="s">
        <v>74</v>
      </c>
      <c r="BP823" t="s">
        <v>74</v>
      </c>
      <c r="BQ823" t="s">
        <v>74</v>
      </c>
      <c r="BR823" t="s">
        <v>100</v>
      </c>
      <c r="BS823" t="s">
        <v>12994</v>
      </c>
      <c r="BT823" t="str">
        <f>HYPERLINK("https%3A%2F%2Fwww.webofscience.com%2Fwos%2Fwoscc%2Ffull-record%2FWOS:000240902500007","View Full Record in Web of Science")</f>
        <v>View Full Record in Web of Science</v>
      </c>
    </row>
    <row r="824" spans="1:72" x14ac:dyDescent="0.15">
      <c r="A824" t="s">
        <v>72</v>
      </c>
      <c r="B824" t="s">
        <v>12995</v>
      </c>
      <c r="C824" t="s">
        <v>74</v>
      </c>
      <c r="D824" t="s">
        <v>74</v>
      </c>
      <c r="E824" t="s">
        <v>74</v>
      </c>
      <c r="F824" t="s">
        <v>12996</v>
      </c>
      <c r="G824" t="s">
        <v>74</v>
      </c>
      <c r="H824" t="s">
        <v>74</v>
      </c>
      <c r="I824" t="s">
        <v>12997</v>
      </c>
      <c r="J824" t="s">
        <v>5588</v>
      </c>
      <c r="K824" t="s">
        <v>74</v>
      </c>
      <c r="L824" t="s">
        <v>74</v>
      </c>
      <c r="M824" t="s">
        <v>78</v>
      </c>
      <c r="N824" t="s">
        <v>79</v>
      </c>
      <c r="O824" t="s">
        <v>74</v>
      </c>
      <c r="P824" t="s">
        <v>74</v>
      </c>
      <c r="Q824" t="s">
        <v>74</v>
      </c>
      <c r="R824" t="s">
        <v>74</v>
      </c>
      <c r="S824" t="s">
        <v>74</v>
      </c>
      <c r="T824" t="s">
        <v>74</v>
      </c>
      <c r="U824" t="s">
        <v>12998</v>
      </c>
      <c r="V824" t="s">
        <v>12999</v>
      </c>
      <c r="W824" t="s">
        <v>13000</v>
      </c>
      <c r="X824" t="s">
        <v>13001</v>
      </c>
      <c r="Y824" t="s">
        <v>13002</v>
      </c>
      <c r="Z824" t="s">
        <v>13003</v>
      </c>
      <c r="AA824" t="s">
        <v>13004</v>
      </c>
      <c r="AB824" t="s">
        <v>13005</v>
      </c>
      <c r="AC824" t="s">
        <v>13006</v>
      </c>
      <c r="AD824" t="s">
        <v>1254</v>
      </c>
      <c r="AE824" t="s">
        <v>74</v>
      </c>
      <c r="AF824" t="s">
        <v>74</v>
      </c>
      <c r="AG824">
        <v>32</v>
      </c>
      <c r="AH824">
        <v>31</v>
      </c>
      <c r="AI824">
        <v>34</v>
      </c>
      <c r="AJ824">
        <v>0</v>
      </c>
      <c r="AK824">
        <v>25</v>
      </c>
      <c r="AL824" t="s">
        <v>613</v>
      </c>
      <c r="AM824" t="s">
        <v>678</v>
      </c>
      <c r="AN824" t="s">
        <v>4336</v>
      </c>
      <c r="AO824" t="s">
        <v>5597</v>
      </c>
      <c r="AP824" t="s">
        <v>74</v>
      </c>
      <c r="AQ824" t="s">
        <v>74</v>
      </c>
      <c r="AR824" t="s">
        <v>5599</v>
      </c>
      <c r="AS824" t="s">
        <v>5600</v>
      </c>
      <c r="AT824" t="s">
        <v>12165</v>
      </c>
      <c r="AU824">
        <v>2006</v>
      </c>
      <c r="AV824">
        <v>29</v>
      </c>
      <c r="AW824">
        <v>11</v>
      </c>
      <c r="AX824" t="s">
        <v>74</v>
      </c>
      <c r="AY824" t="s">
        <v>74</v>
      </c>
      <c r="AZ824" t="s">
        <v>74</v>
      </c>
      <c r="BA824" t="s">
        <v>74</v>
      </c>
      <c r="BB824">
        <v>978</v>
      </c>
      <c r="BC824">
        <v>987</v>
      </c>
      <c r="BD824" t="s">
        <v>74</v>
      </c>
      <c r="BE824" t="s">
        <v>13007</v>
      </c>
      <c r="BF824" t="str">
        <f>HYPERLINK("http://dx.doi.org/10.1007/s00300-006-0140-7","http://dx.doi.org/10.1007/s00300-006-0140-7")</f>
        <v>http://dx.doi.org/10.1007/s00300-006-0140-7</v>
      </c>
      <c r="BG824" t="s">
        <v>74</v>
      </c>
      <c r="BH824" t="s">
        <v>74</v>
      </c>
      <c r="BI824">
        <v>10</v>
      </c>
      <c r="BJ824" t="s">
        <v>5602</v>
      </c>
      <c r="BK824" t="s">
        <v>97</v>
      </c>
      <c r="BL824" t="s">
        <v>5603</v>
      </c>
      <c r="BM824" t="s">
        <v>12925</v>
      </c>
      <c r="BN824" t="s">
        <v>74</v>
      </c>
      <c r="BO824" t="s">
        <v>1384</v>
      </c>
      <c r="BP824" t="s">
        <v>74</v>
      </c>
      <c r="BQ824" t="s">
        <v>74</v>
      </c>
      <c r="BR824" t="s">
        <v>100</v>
      </c>
      <c r="BS824" t="s">
        <v>13008</v>
      </c>
      <c r="BT824" t="str">
        <f>HYPERLINK("https%3A%2F%2Fwww.webofscience.com%2Fwos%2Fwoscc%2Ffull-record%2FWOS:000240902500008","View Full Record in Web of Science")</f>
        <v>View Full Record in Web of Science</v>
      </c>
    </row>
    <row r="825" spans="1:72" x14ac:dyDescent="0.15">
      <c r="A825" t="s">
        <v>72</v>
      </c>
      <c r="B825" t="s">
        <v>13009</v>
      </c>
      <c r="C825" t="s">
        <v>74</v>
      </c>
      <c r="D825" t="s">
        <v>74</v>
      </c>
      <c r="E825" t="s">
        <v>74</v>
      </c>
      <c r="F825" t="s">
        <v>13010</v>
      </c>
      <c r="G825" t="s">
        <v>74</v>
      </c>
      <c r="H825" t="s">
        <v>74</v>
      </c>
      <c r="I825" t="s">
        <v>13011</v>
      </c>
      <c r="J825" t="s">
        <v>5588</v>
      </c>
      <c r="K825" t="s">
        <v>74</v>
      </c>
      <c r="L825" t="s">
        <v>74</v>
      </c>
      <c r="M825" t="s">
        <v>78</v>
      </c>
      <c r="N825" t="s">
        <v>79</v>
      </c>
      <c r="O825" t="s">
        <v>74</v>
      </c>
      <c r="P825" t="s">
        <v>74</v>
      </c>
      <c r="Q825" t="s">
        <v>74</v>
      </c>
      <c r="R825" t="s">
        <v>74</v>
      </c>
      <c r="S825" t="s">
        <v>74</v>
      </c>
      <c r="T825" t="s">
        <v>74</v>
      </c>
      <c r="U825" t="s">
        <v>13012</v>
      </c>
      <c r="V825" t="s">
        <v>13013</v>
      </c>
      <c r="W825" t="s">
        <v>13014</v>
      </c>
      <c r="X825" t="s">
        <v>13015</v>
      </c>
      <c r="Y825" t="s">
        <v>13016</v>
      </c>
      <c r="Z825" t="s">
        <v>13017</v>
      </c>
      <c r="AA825" t="s">
        <v>13018</v>
      </c>
      <c r="AB825" t="s">
        <v>13019</v>
      </c>
      <c r="AC825" t="s">
        <v>74</v>
      </c>
      <c r="AD825" t="s">
        <v>74</v>
      </c>
      <c r="AE825" t="s">
        <v>74</v>
      </c>
      <c r="AF825" t="s">
        <v>74</v>
      </c>
      <c r="AG825">
        <v>57</v>
      </c>
      <c r="AH825">
        <v>49</v>
      </c>
      <c r="AI825">
        <v>55</v>
      </c>
      <c r="AJ825">
        <v>1</v>
      </c>
      <c r="AK825">
        <v>24</v>
      </c>
      <c r="AL825" t="s">
        <v>613</v>
      </c>
      <c r="AM825" t="s">
        <v>678</v>
      </c>
      <c r="AN825" t="s">
        <v>5667</v>
      </c>
      <c r="AO825" t="s">
        <v>5597</v>
      </c>
      <c r="AP825" t="s">
        <v>5598</v>
      </c>
      <c r="AQ825" t="s">
        <v>74</v>
      </c>
      <c r="AR825" t="s">
        <v>5599</v>
      </c>
      <c r="AS825" t="s">
        <v>5600</v>
      </c>
      <c r="AT825" t="s">
        <v>12165</v>
      </c>
      <c r="AU825">
        <v>2006</v>
      </c>
      <c r="AV825">
        <v>29</v>
      </c>
      <c r="AW825">
        <v>11</v>
      </c>
      <c r="AX825" t="s">
        <v>74</v>
      </c>
      <c r="AY825" t="s">
        <v>74</v>
      </c>
      <c r="AZ825" t="s">
        <v>74</v>
      </c>
      <c r="BA825" t="s">
        <v>74</v>
      </c>
      <c r="BB825">
        <v>988</v>
      </c>
      <c r="BC825">
        <v>996</v>
      </c>
      <c r="BD825" t="s">
        <v>74</v>
      </c>
      <c r="BE825" t="s">
        <v>13020</v>
      </c>
      <c r="BF825" t="str">
        <f>HYPERLINK("http://dx.doi.org/10.1007/s00300-006-0141-6","http://dx.doi.org/10.1007/s00300-006-0141-6")</f>
        <v>http://dx.doi.org/10.1007/s00300-006-0141-6</v>
      </c>
      <c r="BG825" t="s">
        <v>74</v>
      </c>
      <c r="BH825" t="s">
        <v>74</v>
      </c>
      <c r="BI825">
        <v>9</v>
      </c>
      <c r="BJ825" t="s">
        <v>5602</v>
      </c>
      <c r="BK825" t="s">
        <v>97</v>
      </c>
      <c r="BL825" t="s">
        <v>5603</v>
      </c>
      <c r="BM825" t="s">
        <v>12925</v>
      </c>
      <c r="BN825" t="s">
        <v>74</v>
      </c>
      <c r="BO825" t="s">
        <v>1384</v>
      </c>
      <c r="BP825" t="s">
        <v>74</v>
      </c>
      <c r="BQ825" t="s">
        <v>74</v>
      </c>
      <c r="BR825" t="s">
        <v>100</v>
      </c>
      <c r="BS825" t="s">
        <v>13021</v>
      </c>
      <c r="BT825" t="str">
        <f>HYPERLINK("https%3A%2F%2Fwww.webofscience.com%2Fwos%2Fwoscc%2Ffull-record%2FWOS:000240902500009","View Full Record in Web of Science")</f>
        <v>View Full Record in Web of Science</v>
      </c>
    </row>
    <row r="826" spans="1:72" x14ac:dyDescent="0.15">
      <c r="A826" t="s">
        <v>72</v>
      </c>
      <c r="B826" t="s">
        <v>13022</v>
      </c>
      <c r="C826" t="s">
        <v>74</v>
      </c>
      <c r="D826" t="s">
        <v>74</v>
      </c>
      <c r="E826" t="s">
        <v>74</v>
      </c>
      <c r="F826" t="s">
        <v>13023</v>
      </c>
      <c r="G826" t="s">
        <v>74</v>
      </c>
      <c r="H826" t="s">
        <v>74</v>
      </c>
      <c r="I826" t="s">
        <v>13024</v>
      </c>
      <c r="J826" t="s">
        <v>5713</v>
      </c>
      <c r="K826" t="s">
        <v>74</v>
      </c>
      <c r="L826" t="s">
        <v>74</v>
      </c>
      <c r="M826" t="s">
        <v>78</v>
      </c>
      <c r="N826" t="s">
        <v>79</v>
      </c>
      <c r="O826" t="s">
        <v>74</v>
      </c>
      <c r="P826" t="s">
        <v>74</v>
      </c>
      <c r="Q826" t="s">
        <v>74</v>
      </c>
      <c r="R826" t="s">
        <v>74</v>
      </c>
      <c r="S826" t="s">
        <v>74</v>
      </c>
      <c r="T826" t="s">
        <v>74</v>
      </c>
      <c r="U826" t="s">
        <v>74</v>
      </c>
      <c r="V826" t="s">
        <v>13025</v>
      </c>
      <c r="W826" t="s">
        <v>74</v>
      </c>
      <c r="X826" t="s">
        <v>74</v>
      </c>
      <c r="Y826" t="s">
        <v>13026</v>
      </c>
      <c r="Z826" t="s">
        <v>13027</v>
      </c>
      <c r="AA826" t="s">
        <v>74</v>
      </c>
      <c r="AB826" t="s">
        <v>74</v>
      </c>
      <c r="AC826" t="s">
        <v>74</v>
      </c>
      <c r="AD826" t="s">
        <v>74</v>
      </c>
      <c r="AE826" t="s">
        <v>74</v>
      </c>
      <c r="AF826" t="s">
        <v>74</v>
      </c>
      <c r="AG826">
        <v>23</v>
      </c>
      <c r="AH826">
        <v>3</v>
      </c>
      <c r="AI826">
        <v>3</v>
      </c>
      <c r="AJ826">
        <v>1</v>
      </c>
      <c r="AK826">
        <v>2</v>
      </c>
      <c r="AL826" t="s">
        <v>221</v>
      </c>
      <c r="AM826" t="s">
        <v>678</v>
      </c>
      <c r="AN826" t="s">
        <v>2692</v>
      </c>
      <c r="AO826" t="s">
        <v>5717</v>
      </c>
      <c r="AP826" t="s">
        <v>74</v>
      </c>
      <c r="AQ826" t="s">
        <v>74</v>
      </c>
      <c r="AR826" t="s">
        <v>5718</v>
      </c>
      <c r="AS826" t="s">
        <v>5719</v>
      </c>
      <c r="AT826" t="s">
        <v>12165</v>
      </c>
      <c r="AU826">
        <v>2006</v>
      </c>
      <c r="AV826">
        <v>42</v>
      </c>
      <c r="AW826">
        <v>223</v>
      </c>
      <c r="AX826" t="s">
        <v>74</v>
      </c>
      <c r="AY826" t="s">
        <v>74</v>
      </c>
      <c r="AZ826" t="s">
        <v>74</v>
      </c>
      <c r="BA826" t="s">
        <v>74</v>
      </c>
      <c r="BB826">
        <v>281</v>
      </c>
      <c r="BC826">
        <v>289</v>
      </c>
      <c r="BD826" t="s">
        <v>74</v>
      </c>
      <c r="BE826" t="s">
        <v>13028</v>
      </c>
      <c r="BF826" t="str">
        <f>HYPERLINK("http://dx.doi.org/10.1017/S0032247406005535","http://dx.doi.org/10.1017/S0032247406005535")</f>
        <v>http://dx.doi.org/10.1017/S0032247406005535</v>
      </c>
      <c r="BG826" t="s">
        <v>74</v>
      </c>
      <c r="BH826" t="s">
        <v>74</v>
      </c>
      <c r="BI826">
        <v>9</v>
      </c>
      <c r="BJ826" t="s">
        <v>3165</v>
      </c>
      <c r="BK826" t="s">
        <v>97</v>
      </c>
      <c r="BL826" t="s">
        <v>226</v>
      </c>
      <c r="BM826" t="s">
        <v>13029</v>
      </c>
      <c r="BN826" t="s">
        <v>74</v>
      </c>
      <c r="BO826" t="s">
        <v>74</v>
      </c>
      <c r="BP826" t="s">
        <v>74</v>
      </c>
      <c r="BQ826" t="s">
        <v>74</v>
      </c>
      <c r="BR826" t="s">
        <v>100</v>
      </c>
      <c r="BS826" t="s">
        <v>13030</v>
      </c>
      <c r="BT826" t="str">
        <f>HYPERLINK("https%3A%2F%2Fwww.webofscience.com%2Fwos%2Fwoscc%2Ffull-record%2FWOS:000242250200001","View Full Record in Web of Science")</f>
        <v>View Full Record in Web of Science</v>
      </c>
    </row>
    <row r="827" spans="1:72" x14ac:dyDescent="0.15">
      <c r="A827" t="s">
        <v>72</v>
      </c>
      <c r="B827" t="s">
        <v>13031</v>
      </c>
      <c r="C827" t="s">
        <v>74</v>
      </c>
      <c r="D827" t="s">
        <v>74</v>
      </c>
      <c r="E827" t="s">
        <v>74</v>
      </c>
      <c r="F827" t="s">
        <v>13032</v>
      </c>
      <c r="G827" t="s">
        <v>74</v>
      </c>
      <c r="H827" t="s">
        <v>74</v>
      </c>
      <c r="I827" t="s">
        <v>13033</v>
      </c>
      <c r="J827" t="s">
        <v>5713</v>
      </c>
      <c r="K827" t="s">
        <v>74</v>
      </c>
      <c r="L827" t="s">
        <v>74</v>
      </c>
      <c r="M827" t="s">
        <v>78</v>
      </c>
      <c r="N827" t="s">
        <v>79</v>
      </c>
      <c r="O827" t="s">
        <v>74</v>
      </c>
      <c r="P827" t="s">
        <v>74</v>
      </c>
      <c r="Q827" t="s">
        <v>74</v>
      </c>
      <c r="R827" t="s">
        <v>74</v>
      </c>
      <c r="S827" t="s">
        <v>74</v>
      </c>
      <c r="T827" t="s">
        <v>74</v>
      </c>
      <c r="U827" t="s">
        <v>74</v>
      </c>
      <c r="V827" t="s">
        <v>13034</v>
      </c>
      <c r="W827" t="s">
        <v>74</v>
      </c>
      <c r="X827" t="s">
        <v>74</v>
      </c>
      <c r="Y827" t="s">
        <v>13035</v>
      </c>
      <c r="Z827" t="s">
        <v>74</v>
      </c>
      <c r="AA827" t="s">
        <v>74</v>
      </c>
      <c r="AB827" t="s">
        <v>74</v>
      </c>
      <c r="AC827" t="s">
        <v>74</v>
      </c>
      <c r="AD827" t="s">
        <v>74</v>
      </c>
      <c r="AE827" t="s">
        <v>74</v>
      </c>
      <c r="AF827" t="s">
        <v>74</v>
      </c>
      <c r="AG827">
        <v>51</v>
      </c>
      <c r="AH827">
        <v>3</v>
      </c>
      <c r="AI827">
        <v>3</v>
      </c>
      <c r="AJ827">
        <v>0</v>
      </c>
      <c r="AK827">
        <v>4</v>
      </c>
      <c r="AL827" t="s">
        <v>221</v>
      </c>
      <c r="AM827" t="s">
        <v>678</v>
      </c>
      <c r="AN827" t="s">
        <v>2692</v>
      </c>
      <c r="AO827" t="s">
        <v>5717</v>
      </c>
      <c r="AP827" t="s">
        <v>13036</v>
      </c>
      <c r="AQ827" t="s">
        <v>74</v>
      </c>
      <c r="AR827" t="s">
        <v>5718</v>
      </c>
      <c r="AS827" t="s">
        <v>5719</v>
      </c>
      <c r="AT827" t="s">
        <v>12165</v>
      </c>
      <c r="AU827">
        <v>2006</v>
      </c>
      <c r="AV827">
        <v>42</v>
      </c>
      <c r="AW827">
        <v>223</v>
      </c>
      <c r="AX827" t="s">
        <v>74</v>
      </c>
      <c r="AY827" t="s">
        <v>74</v>
      </c>
      <c r="AZ827" t="s">
        <v>74</v>
      </c>
      <c r="BA827" t="s">
        <v>74</v>
      </c>
      <c r="BB827">
        <v>291</v>
      </c>
      <c r="BC827">
        <v>307</v>
      </c>
      <c r="BD827" t="s">
        <v>74</v>
      </c>
      <c r="BE827" t="s">
        <v>13037</v>
      </c>
      <c r="BF827" t="str">
        <f>HYPERLINK("http://dx.doi.org/10.1017/S0032247406005584","http://dx.doi.org/10.1017/S0032247406005584")</f>
        <v>http://dx.doi.org/10.1017/S0032247406005584</v>
      </c>
      <c r="BG827" t="s">
        <v>74</v>
      </c>
      <c r="BH827" t="s">
        <v>74</v>
      </c>
      <c r="BI827">
        <v>17</v>
      </c>
      <c r="BJ827" t="s">
        <v>3165</v>
      </c>
      <c r="BK827" t="s">
        <v>97</v>
      </c>
      <c r="BL827" t="s">
        <v>226</v>
      </c>
      <c r="BM827" t="s">
        <v>13029</v>
      </c>
      <c r="BN827" t="s">
        <v>74</v>
      </c>
      <c r="BO827" t="s">
        <v>74</v>
      </c>
      <c r="BP827" t="s">
        <v>74</v>
      </c>
      <c r="BQ827" t="s">
        <v>74</v>
      </c>
      <c r="BR827" t="s">
        <v>100</v>
      </c>
      <c r="BS827" t="s">
        <v>13038</v>
      </c>
      <c r="BT827" t="str">
        <f>HYPERLINK("https%3A%2F%2Fwww.webofscience.com%2Fwos%2Fwoscc%2Ffull-record%2FWOS:000242250200002","View Full Record in Web of Science")</f>
        <v>View Full Record in Web of Science</v>
      </c>
    </row>
    <row r="828" spans="1:72" x14ac:dyDescent="0.15">
      <c r="A828" t="s">
        <v>72</v>
      </c>
      <c r="B828" t="s">
        <v>13039</v>
      </c>
      <c r="C828" t="s">
        <v>74</v>
      </c>
      <c r="D828" t="s">
        <v>74</v>
      </c>
      <c r="E828" t="s">
        <v>74</v>
      </c>
      <c r="F828" t="s">
        <v>13040</v>
      </c>
      <c r="G828" t="s">
        <v>74</v>
      </c>
      <c r="H828" t="s">
        <v>74</v>
      </c>
      <c r="I828" t="s">
        <v>13041</v>
      </c>
      <c r="J828" t="s">
        <v>5713</v>
      </c>
      <c r="K828" t="s">
        <v>74</v>
      </c>
      <c r="L828" t="s">
        <v>74</v>
      </c>
      <c r="M828" t="s">
        <v>78</v>
      </c>
      <c r="N828" t="s">
        <v>79</v>
      </c>
      <c r="O828" t="s">
        <v>74</v>
      </c>
      <c r="P828" t="s">
        <v>74</v>
      </c>
      <c r="Q828" t="s">
        <v>74</v>
      </c>
      <c r="R828" t="s">
        <v>74</v>
      </c>
      <c r="S828" t="s">
        <v>74</v>
      </c>
      <c r="T828" t="s">
        <v>74</v>
      </c>
      <c r="U828" t="s">
        <v>74</v>
      </c>
      <c r="V828" t="s">
        <v>13042</v>
      </c>
      <c r="W828" t="s">
        <v>13043</v>
      </c>
      <c r="X828" t="s">
        <v>1175</v>
      </c>
      <c r="Y828" t="s">
        <v>13044</v>
      </c>
      <c r="Z828" t="s">
        <v>74</v>
      </c>
      <c r="AA828" t="s">
        <v>74</v>
      </c>
      <c r="AB828" t="s">
        <v>74</v>
      </c>
      <c r="AC828" t="s">
        <v>74</v>
      </c>
      <c r="AD828" t="s">
        <v>74</v>
      </c>
      <c r="AE828" t="s">
        <v>74</v>
      </c>
      <c r="AF828" t="s">
        <v>74</v>
      </c>
      <c r="AG828">
        <v>43</v>
      </c>
      <c r="AH828">
        <v>2</v>
      </c>
      <c r="AI828">
        <v>3</v>
      </c>
      <c r="AJ828">
        <v>0</v>
      </c>
      <c r="AK828">
        <v>10</v>
      </c>
      <c r="AL828" t="s">
        <v>221</v>
      </c>
      <c r="AM828" t="s">
        <v>678</v>
      </c>
      <c r="AN828" t="s">
        <v>2692</v>
      </c>
      <c r="AO828" t="s">
        <v>5717</v>
      </c>
      <c r="AP828" t="s">
        <v>74</v>
      </c>
      <c r="AQ828" t="s">
        <v>74</v>
      </c>
      <c r="AR828" t="s">
        <v>5718</v>
      </c>
      <c r="AS828" t="s">
        <v>5719</v>
      </c>
      <c r="AT828" t="s">
        <v>12165</v>
      </c>
      <c r="AU828">
        <v>2006</v>
      </c>
      <c r="AV828">
        <v>42</v>
      </c>
      <c r="AW828">
        <v>223</v>
      </c>
      <c r="AX828" t="s">
        <v>74</v>
      </c>
      <c r="AY828" t="s">
        <v>74</v>
      </c>
      <c r="AZ828" t="s">
        <v>74</v>
      </c>
      <c r="BA828" t="s">
        <v>74</v>
      </c>
      <c r="BB828">
        <v>349</v>
      </c>
      <c r="BC828">
        <v>357</v>
      </c>
      <c r="BD828" t="s">
        <v>74</v>
      </c>
      <c r="BE828" t="s">
        <v>13045</v>
      </c>
      <c r="BF828" t="str">
        <f>HYPERLINK("http://dx.doi.org/10.1017/S0032247406005766","http://dx.doi.org/10.1017/S0032247406005766")</f>
        <v>http://dx.doi.org/10.1017/S0032247406005766</v>
      </c>
      <c r="BG828" t="s">
        <v>74</v>
      </c>
      <c r="BH828" t="s">
        <v>74</v>
      </c>
      <c r="BI828">
        <v>9</v>
      </c>
      <c r="BJ828" t="s">
        <v>3165</v>
      </c>
      <c r="BK828" t="s">
        <v>97</v>
      </c>
      <c r="BL828" t="s">
        <v>226</v>
      </c>
      <c r="BM828" t="s">
        <v>13029</v>
      </c>
      <c r="BN828" t="s">
        <v>74</v>
      </c>
      <c r="BO828" t="s">
        <v>74</v>
      </c>
      <c r="BP828" t="s">
        <v>74</v>
      </c>
      <c r="BQ828" t="s">
        <v>74</v>
      </c>
      <c r="BR828" t="s">
        <v>100</v>
      </c>
      <c r="BS828" t="s">
        <v>13046</v>
      </c>
      <c r="BT828" t="str">
        <f>HYPERLINK("https%3A%2F%2Fwww.webofscience.com%2Fwos%2Fwoscc%2Ffull-record%2FWOS:000242250200007","View Full Record in Web of Science")</f>
        <v>View Full Record in Web of Science</v>
      </c>
    </row>
    <row r="829" spans="1:72" x14ac:dyDescent="0.15">
      <c r="A829" t="s">
        <v>72</v>
      </c>
      <c r="B829" t="s">
        <v>13047</v>
      </c>
      <c r="C829" t="s">
        <v>74</v>
      </c>
      <c r="D829" t="s">
        <v>74</v>
      </c>
      <c r="E829" t="s">
        <v>74</v>
      </c>
      <c r="F829" t="s">
        <v>13048</v>
      </c>
      <c r="G829" t="s">
        <v>74</v>
      </c>
      <c r="H829" t="s">
        <v>74</v>
      </c>
      <c r="I829" t="s">
        <v>13049</v>
      </c>
      <c r="J829" t="s">
        <v>5713</v>
      </c>
      <c r="K829" t="s">
        <v>74</v>
      </c>
      <c r="L829" t="s">
        <v>74</v>
      </c>
      <c r="M829" t="s">
        <v>78</v>
      </c>
      <c r="N829" t="s">
        <v>79</v>
      </c>
      <c r="O829" t="s">
        <v>74</v>
      </c>
      <c r="P829" t="s">
        <v>74</v>
      </c>
      <c r="Q829" t="s">
        <v>74</v>
      </c>
      <c r="R829" t="s">
        <v>74</v>
      </c>
      <c r="S829" t="s">
        <v>74</v>
      </c>
      <c r="T829" t="s">
        <v>74</v>
      </c>
      <c r="U829" t="s">
        <v>74</v>
      </c>
      <c r="V829" t="s">
        <v>13050</v>
      </c>
      <c r="W829" t="s">
        <v>5715</v>
      </c>
      <c r="X829" t="s">
        <v>917</v>
      </c>
      <c r="Y829" t="s">
        <v>13051</v>
      </c>
      <c r="Z829" t="s">
        <v>74</v>
      </c>
      <c r="AA829" t="s">
        <v>74</v>
      </c>
      <c r="AB829" t="s">
        <v>74</v>
      </c>
      <c r="AC829" t="s">
        <v>74</v>
      </c>
      <c r="AD829" t="s">
        <v>74</v>
      </c>
      <c r="AE829" t="s">
        <v>74</v>
      </c>
      <c r="AF829" t="s">
        <v>74</v>
      </c>
      <c r="AG829">
        <v>14</v>
      </c>
      <c r="AH829">
        <v>0</v>
      </c>
      <c r="AI829">
        <v>0</v>
      </c>
      <c r="AJ829">
        <v>0</v>
      </c>
      <c r="AK829">
        <v>0</v>
      </c>
      <c r="AL829" t="s">
        <v>221</v>
      </c>
      <c r="AM829" t="s">
        <v>678</v>
      </c>
      <c r="AN829" t="s">
        <v>2692</v>
      </c>
      <c r="AO829" t="s">
        <v>5717</v>
      </c>
      <c r="AP829" t="s">
        <v>74</v>
      </c>
      <c r="AQ829" t="s">
        <v>74</v>
      </c>
      <c r="AR829" t="s">
        <v>5718</v>
      </c>
      <c r="AS829" t="s">
        <v>5719</v>
      </c>
      <c r="AT829" t="s">
        <v>12165</v>
      </c>
      <c r="AU829">
        <v>2006</v>
      </c>
      <c r="AV829">
        <v>42</v>
      </c>
      <c r="AW829">
        <v>223</v>
      </c>
      <c r="AX829" t="s">
        <v>74</v>
      </c>
      <c r="AY829" t="s">
        <v>74</v>
      </c>
      <c r="AZ829" t="s">
        <v>74</v>
      </c>
      <c r="BA829" t="s">
        <v>74</v>
      </c>
      <c r="BB829">
        <v>359</v>
      </c>
      <c r="BC829">
        <v>363</v>
      </c>
      <c r="BD829" t="s">
        <v>74</v>
      </c>
      <c r="BE829" t="s">
        <v>13052</v>
      </c>
      <c r="BF829" t="str">
        <f>HYPERLINK("http://dx.doi.org/10.1017/S0032247406005560","http://dx.doi.org/10.1017/S0032247406005560")</f>
        <v>http://dx.doi.org/10.1017/S0032247406005560</v>
      </c>
      <c r="BG829" t="s">
        <v>74</v>
      </c>
      <c r="BH829" t="s">
        <v>74</v>
      </c>
      <c r="BI829">
        <v>5</v>
      </c>
      <c r="BJ829" t="s">
        <v>3165</v>
      </c>
      <c r="BK829" t="s">
        <v>97</v>
      </c>
      <c r="BL829" t="s">
        <v>226</v>
      </c>
      <c r="BM829" t="s">
        <v>13029</v>
      </c>
      <c r="BN829" t="s">
        <v>74</v>
      </c>
      <c r="BO829" t="s">
        <v>74</v>
      </c>
      <c r="BP829" t="s">
        <v>74</v>
      </c>
      <c r="BQ829" t="s">
        <v>74</v>
      </c>
      <c r="BR829" t="s">
        <v>100</v>
      </c>
      <c r="BS829" t="s">
        <v>13053</v>
      </c>
      <c r="BT829" t="str">
        <f>HYPERLINK("https%3A%2F%2Fwww.webofscience.com%2Fwos%2Fwoscc%2Ffull-record%2FWOS:000242250200008","View Full Record in Web of Science")</f>
        <v>View Full Record in Web of Science</v>
      </c>
    </row>
    <row r="830" spans="1:72" x14ac:dyDescent="0.15">
      <c r="A830" t="s">
        <v>72</v>
      </c>
      <c r="B830" t="s">
        <v>13054</v>
      </c>
      <c r="C830" t="s">
        <v>74</v>
      </c>
      <c r="D830" t="s">
        <v>74</v>
      </c>
      <c r="E830" t="s">
        <v>74</v>
      </c>
      <c r="F830" t="s">
        <v>13055</v>
      </c>
      <c r="G830" t="s">
        <v>74</v>
      </c>
      <c r="H830" t="s">
        <v>74</v>
      </c>
      <c r="I830" t="s">
        <v>13056</v>
      </c>
      <c r="J830" t="s">
        <v>13057</v>
      </c>
      <c r="K830" t="s">
        <v>74</v>
      </c>
      <c r="L830" t="s">
        <v>74</v>
      </c>
      <c r="M830" t="s">
        <v>78</v>
      </c>
      <c r="N830" t="s">
        <v>79</v>
      </c>
      <c r="O830" t="s">
        <v>74</v>
      </c>
      <c r="P830" t="s">
        <v>74</v>
      </c>
      <c r="Q830" t="s">
        <v>74</v>
      </c>
      <c r="R830" t="s">
        <v>74</v>
      </c>
      <c r="S830" t="s">
        <v>74</v>
      </c>
      <c r="T830" t="s">
        <v>13058</v>
      </c>
      <c r="U830" t="s">
        <v>13059</v>
      </c>
      <c r="V830" t="s">
        <v>13060</v>
      </c>
      <c r="W830" t="s">
        <v>13061</v>
      </c>
      <c r="X830" t="s">
        <v>13062</v>
      </c>
      <c r="Y830" t="s">
        <v>13063</v>
      </c>
      <c r="Z830" t="s">
        <v>13064</v>
      </c>
      <c r="AA830" t="s">
        <v>13065</v>
      </c>
      <c r="AB830" t="s">
        <v>13066</v>
      </c>
      <c r="AC830" t="s">
        <v>74</v>
      </c>
      <c r="AD830" t="s">
        <v>74</v>
      </c>
      <c r="AE830" t="s">
        <v>74</v>
      </c>
      <c r="AF830" t="s">
        <v>74</v>
      </c>
      <c r="AG830">
        <v>37</v>
      </c>
      <c r="AH830">
        <v>41</v>
      </c>
      <c r="AI830">
        <v>46</v>
      </c>
      <c r="AJ830">
        <v>0</v>
      </c>
      <c r="AK830">
        <v>12</v>
      </c>
      <c r="AL830" t="s">
        <v>859</v>
      </c>
      <c r="AM830" t="s">
        <v>860</v>
      </c>
      <c r="AN830" t="s">
        <v>861</v>
      </c>
      <c r="AO830" t="s">
        <v>13067</v>
      </c>
      <c r="AP830" t="s">
        <v>74</v>
      </c>
      <c r="AQ830" t="s">
        <v>74</v>
      </c>
      <c r="AR830" t="s">
        <v>13068</v>
      </c>
      <c r="AS830" t="s">
        <v>13069</v>
      </c>
      <c r="AT830" t="s">
        <v>12165</v>
      </c>
      <c r="AU830">
        <v>2006</v>
      </c>
      <c r="AV830">
        <v>49</v>
      </c>
      <c r="AW830">
        <v>10</v>
      </c>
      <c r="AX830" t="s">
        <v>74</v>
      </c>
      <c r="AY830" t="s">
        <v>74</v>
      </c>
      <c r="AZ830" t="s">
        <v>74</v>
      </c>
      <c r="BA830" t="s">
        <v>74</v>
      </c>
      <c r="BB830">
        <v>1111</v>
      </c>
      <c r="BC830">
        <v>1120</v>
      </c>
      <c r="BD830" t="s">
        <v>74</v>
      </c>
      <c r="BE830" t="s">
        <v>13070</v>
      </c>
      <c r="BF830" t="str">
        <f>HYPERLINK("http://dx.doi.org/10.1007/s11430-006-1111-0","http://dx.doi.org/10.1007/s11430-006-1111-0")</f>
        <v>http://dx.doi.org/10.1007/s11430-006-1111-0</v>
      </c>
      <c r="BG830" t="s">
        <v>74</v>
      </c>
      <c r="BH830" t="s">
        <v>74</v>
      </c>
      <c r="BI830">
        <v>10</v>
      </c>
      <c r="BJ830" t="s">
        <v>685</v>
      </c>
      <c r="BK830" t="s">
        <v>97</v>
      </c>
      <c r="BL830" t="s">
        <v>642</v>
      </c>
      <c r="BM830" t="s">
        <v>13071</v>
      </c>
      <c r="BN830" t="s">
        <v>74</v>
      </c>
      <c r="BO830" t="s">
        <v>74</v>
      </c>
      <c r="BP830" t="s">
        <v>74</v>
      </c>
      <c r="BQ830" t="s">
        <v>74</v>
      </c>
      <c r="BR830" t="s">
        <v>100</v>
      </c>
      <c r="BS830" t="s">
        <v>13072</v>
      </c>
      <c r="BT830" t="str">
        <f>HYPERLINK("https%3A%2F%2Fwww.webofscience.com%2Fwos%2Fwoscc%2Ffull-record%2FWOS:000242000600010","View Full Record in Web of Science")</f>
        <v>View Full Record in Web of Science</v>
      </c>
    </row>
    <row r="831" spans="1:72" x14ac:dyDescent="0.15">
      <c r="A831" t="s">
        <v>72</v>
      </c>
      <c r="B831" t="s">
        <v>13073</v>
      </c>
      <c r="C831" t="s">
        <v>74</v>
      </c>
      <c r="D831" t="s">
        <v>74</v>
      </c>
      <c r="E831" t="s">
        <v>74</v>
      </c>
      <c r="F831" t="s">
        <v>13074</v>
      </c>
      <c r="G831" t="s">
        <v>74</v>
      </c>
      <c r="H831" t="s">
        <v>74</v>
      </c>
      <c r="I831" t="s">
        <v>13075</v>
      </c>
      <c r="J831" t="s">
        <v>6783</v>
      </c>
      <c r="K831" t="s">
        <v>74</v>
      </c>
      <c r="L831" t="s">
        <v>74</v>
      </c>
      <c r="M831" t="s">
        <v>78</v>
      </c>
      <c r="N831" t="s">
        <v>176</v>
      </c>
      <c r="O831" t="s">
        <v>13076</v>
      </c>
      <c r="P831" t="s">
        <v>13077</v>
      </c>
      <c r="Q831" t="s">
        <v>13078</v>
      </c>
      <c r="R831" t="s">
        <v>74</v>
      </c>
      <c r="S831" t="s">
        <v>74</v>
      </c>
      <c r="T831" t="s">
        <v>13079</v>
      </c>
      <c r="U831" t="s">
        <v>13080</v>
      </c>
      <c r="V831" t="s">
        <v>13081</v>
      </c>
      <c r="W831" t="s">
        <v>13082</v>
      </c>
      <c r="X831" t="s">
        <v>13083</v>
      </c>
      <c r="Y831" t="s">
        <v>13084</v>
      </c>
      <c r="Z831" t="s">
        <v>13085</v>
      </c>
      <c r="AA831" t="s">
        <v>13086</v>
      </c>
      <c r="AB831" t="s">
        <v>13087</v>
      </c>
      <c r="AC831" t="s">
        <v>13088</v>
      </c>
      <c r="AD831" t="s">
        <v>158</v>
      </c>
      <c r="AE831" t="s">
        <v>74</v>
      </c>
      <c r="AF831" t="s">
        <v>74</v>
      </c>
      <c r="AG831">
        <v>178</v>
      </c>
      <c r="AH831">
        <v>234</v>
      </c>
      <c r="AI831">
        <v>265</v>
      </c>
      <c r="AJ831">
        <v>3</v>
      </c>
      <c r="AK831">
        <v>108</v>
      </c>
      <c r="AL831" t="s">
        <v>817</v>
      </c>
      <c r="AM831" t="s">
        <v>818</v>
      </c>
      <c r="AN831" t="s">
        <v>819</v>
      </c>
      <c r="AO831" t="s">
        <v>6792</v>
      </c>
      <c r="AP831" t="s">
        <v>74</v>
      </c>
      <c r="AQ831" t="s">
        <v>74</v>
      </c>
      <c r="AR831" t="s">
        <v>6793</v>
      </c>
      <c r="AS831" t="s">
        <v>6794</v>
      </c>
      <c r="AT831" t="s">
        <v>12165</v>
      </c>
      <c r="AU831">
        <v>2006</v>
      </c>
      <c r="AV831">
        <v>38</v>
      </c>
      <c r="AW831">
        <v>10</v>
      </c>
      <c r="AX831" t="s">
        <v>74</v>
      </c>
      <c r="AY831" t="s">
        <v>74</v>
      </c>
      <c r="AZ831" t="s">
        <v>3394</v>
      </c>
      <c r="BA831" t="s">
        <v>74</v>
      </c>
      <c r="BB831">
        <v>3003</v>
      </c>
      <c r="BC831">
        <v>3018</v>
      </c>
      <c r="BD831" t="s">
        <v>74</v>
      </c>
      <c r="BE831" t="s">
        <v>13089</v>
      </c>
      <c r="BF831" t="str">
        <f>HYPERLINK("http://dx.doi.org/10.1016/j.soilbio.2006.04.030","http://dx.doi.org/10.1016/j.soilbio.2006.04.030")</f>
        <v>http://dx.doi.org/10.1016/j.soilbio.2006.04.030</v>
      </c>
      <c r="BG831" t="s">
        <v>74</v>
      </c>
      <c r="BH831" t="s">
        <v>74</v>
      </c>
      <c r="BI831">
        <v>16</v>
      </c>
      <c r="BJ831" t="s">
        <v>6796</v>
      </c>
      <c r="BK831" t="s">
        <v>197</v>
      </c>
      <c r="BL831" t="s">
        <v>6797</v>
      </c>
      <c r="BM831" t="s">
        <v>13090</v>
      </c>
      <c r="BN831" t="s">
        <v>74</v>
      </c>
      <c r="BO831" t="s">
        <v>74</v>
      </c>
      <c r="BP831" t="s">
        <v>74</v>
      </c>
      <c r="BQ831" t="s">
        <v>74</v>
      </c>
      <c r="BR831" t="s">
        <v>100</v>
      </c>
      <c r="BS831" t="s">
        <v>13091</v>
      </c>
      <c r="BT831" t="str">
        <f>HYPERLINK("https%3A%2F%2Fwww.webofscience.com%2Fwos%2Fwoscc%2Ffull-record%2FWOS:000241585600002","View Full Record in Web of Science")</f>
        <v>View Full Record in Web of Science</v>
      </c>
    </row>
    <row r="832" spans="1:72" x14ac:dyDescent="0.15">
      <c r="A832" t="s">
        <v>72</v>
      </c>
      <c r="B832" t="s">
        <v>13092</v>
      </c>
      <c r="C832" t="s">
        <v>74</v>
      </c>
      <c r="D832" t="s">
        <v>74</v>
      </c>
      <c r="E832" t="s">
        <v>74</v>
      </c>
      <c r="F832" t="s">
        <v>13093</v>
      </c>
      <c r="G832" t="s">
        <v>74</v>
      </c>
      <c r="H832" t="s">
        <v>74</v>
      </c>
      <c r="I832" t="s">
        <v>13094</v>
      </c>
      <c r="J832" t="s">
        <v>6783</v>
      </c>
      <c r="K832" t="s">
        <v>74</v>
      </c>
      <c r="L832" t="s">
        <v>74</v>
      </c>
      <c r="M832" t="s">
        <v>78</v>
      </c>
      <c r="N832" t="s">
        <v>176</v>
      </c>
      <c r="O832" t="s">
        <v>13076</v>
      </c>
      <c r="P832" t="s">
        <v>13077</v>
      </c>
      <c r="Q832" t="s">
        <v>13078</v>
      </c>
      <c r="R832" t="s">
        <v>74</v>
      </c>
      <c r="S832" t="s">
        <v>74</v>
      </c>
      <c r="T832" t="s">
        <v>13095</v>
      </c>
      <c r="U832" t="s">
        <v>13096</v>
      </c>
      <c r="V832" t="s">
        <v>13097</v>
      </c>
      <c r="W832" t="s">
        <v>13098</v>
      </c>
      <c r="X832" t="s">
        <v>13099</v>
      </c>
      <c r="Y832" t="s">
        <v>13100</v>
      </c>
      <c r="Z832" t="s">
        <v>13101</v>
      </c>
      <c r="AA832" t="s">
        <v>13102</v>
      </c>
      <c r="AB832" t="s">
        <v>13103</v>
      </c>
      <c r="AC832" t="s">
        <v>13088</v>
      </c>
      <c r="AD832" t="s">
        <v>158</v>
      </c>
      <c r="AE832" t="s">
        <v>74</v>
      </c>
      <c r="AF832" t="s">
        <v>74</v>
      </c>
      <c r="AG832">
        <v>79</v>
      </c>
      <c r="AH832">
        <v>129</v>
      </c>
      <c r="AI832">
        <v>149</v>
      </c>
      <c r="AJ832">
        <v>3</v>
      </c>
      <c r="AK832">
        <v>34</v>
      </c>
      <c r="AL832" t="s">
        <v>817</v>
      </c>
      <c r="AM832" t="s">
        <v>818</v>
      </c>
      <c r="AN832" t="s">
        <v>819</v>
      </c>
      <c r="AO832" t="s">
        <v>6792</v>
      </c>
      <c r="AP832" t="s">
        <v>13104</v>
      </c>
      <c r="AQ832" t="s">
        <v>74</v>
      </c>
      <c r="AR832" t="s">
        <v>6793</v>
      </c>
      <c r="AS832" t="s">
        <v>6794</v>
      </c>
      <c r="AT832" t="s">
        <v>12165</v>
      </c>
      <c r="AU832">
        <v>2006</v>
      </c>
      <c r="AV832">
        <v>38</v>
      </c>
      <c r="AW832">
        <v>10</v>
      </c>
      <c r="AX832" t="s">
        <v>74</v>
      </c>
      <c r="AY832" t="s">
        <v>74</v>
      </c>
      <c r="AZ832" t="s">
        <v>3394</v>
      </c>
      <c r="BA832" t="s">
        <v>74</v>
      </c>
      <c r="BB832">
        <v>3035</v>
      </c>
      <c r="BC832">
        <v>3040</v>
      </c>
      <c r="BD832" t="s">
        <v>74</v>
      </c>
      <c r="BE832" t="s">
        <v>13105</v>
      </c>
      <c r="BF832" t="str">
        <f>HYPERLINK("http://dx.doi.org/10.1016/j.soilbio.2006.04.026","http://dx.doi.org/10.1016/j.soilbio.2006.04.026")</f>
        <v>http://dx.doi.org/10.1016/j.soilbio.2006.04.026</v>
      </c>
      <c r="BG832" t="s">
        <v>74</v>
      </c>
      <c r="BH832" t="s">
        <v>74</v>
      </c>
      <c r="BI832">
        <v>6</v>
      </c>
      <c r="BJ832" t="s">
        <v>6796</v>
      </c>
      <c r="BK832" t="s">
        <v>197</v>
      </c>
      <c r="BL832" t="s">
        <v>6797</v>
      </c>
      <c r="BM832" t="s">
        <v>13090</v>
      </c>
      <c r="BN832" t="s">
        <v>74</v>
      </c>
      <c r="BO832" t="s">
        <v>74</v>
      </c>
      <c r="BP832" t="s">
        <v>74</v>
      </c>
      <c r="BQ832" t="s">
        <v>74</v>
      </c>
      <c r="BR832" t="s">
        <v>100</v>
      </c>
      <c r="BS832" t="s">
        <v>13106</v>
      </c>
      <c r="BT832" t="str">
        <f>HYPERLINK("https%3A%2F%2Fwww.webofscience.com%2Fwos%2Fwoscc%2Ffull-record%2FWOS:000241585600004","View Full Record in Web of Science")</f>
        <v>View Full Record in Web of Science</v>
      </c>
    </row>
    <row r="833" spans="1:72" x14ac:dyDescent="0.15">
      <c r="A833" t="s">
        <v>72</v>
      </c>
      <c r="B833" t="s">
        <v>13107</v>
      </c>
      <c r="C833" t="s">
        <v>74</v>
      </c>
      <c r="D833" t="s">
        <v>74</v>
      </c>
      <c r="E833" t="s">
        <v>74</v>
      </c>
      <c r="F833" t="s">
        <v>13108</v>
      </c>
      <c r="G833" t="s">
        <v>74</v>
      </c>
      <c r="H833" t="s">
        <v>74</v>
      </c>
      <c r="I833" t="s">
        <v>13109</v>
      </c>
      <c r="J833" t="s">
        <v>6783</v>
      </c>
      <c r="K833" t="s">
        <v>74</v>
      </c>
      <c r="L833" t="s">
        <v>74</v>
      </c>
      <c r="M833" t="s">
        <v>78</v>
      </c>
      <c r="N833" t="s">
        <v>176</v>
      </c>
      <c r="O833" t="s">
        <v>13076</v>
      </c>
      <c r="P833" t="s">
        <v>13077</v>
      </c>
      <c r="Q833" t="s">
        <v>13078</v>
      </c>
      <c r="R833" t="s">
        <v>74</v>
      </c>
      <c r="S833" t="s">
        <v>74</v>
      </c>
      <c r="T833" t="s">
        <v>13110</v>
      </c>
      <c r="U833" t="s">
        <v>13111</v>
      </c>
      <c r="V833" t="s">
        <v>13112</v>
      </c>
      <c r="W833" t="s">
        <v>13113</v>
      </c>
      <c r="X833" t="s">
        <v>13114</v>
      </c>
      <c r="Y833" t="s">
        <v>13115</v>
      </c>
      <c r="Z833" t="s">
        <v>13116</v>
      </c>
      <c r="AA833" t="s">
        <v>13117</v>
      </c>
      <c r="AB833" t="s">
        <v>13118</v>
      </c>
      <c r="AC833" t="s">
        <v>74</v>
      </c>
      <c r="AD833" t="s">
        <v>74</v>
      </c>
      <c r="AE833" t="s">
        <v>74</v>
      </c>
      <c r="AF833" t="s">
        <v>74</v>
      </c>
      <c r="AG833">
        <v>54</v>
      </c>
      <c r="AH833">
        <v>170</v>
      </c>
      <c r="AI833">
        <v>203</v>
      </c>
      <c r="AJ833">
        <v>1</v>
      </c>
      <c r="AK833">
        <v>71</v>
      </c>
      <c r="AL833" t="s">
        <v>817</v>
      </c>
      <c r="AM833" t="s">
        <v>818</v>
      </c>
      <c r="AN833" t="s">
        <v>819</v>
      </c>
      <c r="AO833" t="s">
        <v>6792</v>
      </c>
      <c r="AP833" t="s">
        <v>74</v>
      </c>
      <c r="AQ833" t="s">
        <v>74</v>
      </c>
      <c r="AR833" t="s">
        <v>6793</v>
      </c>
      <c r="AS833" t="s">
        <v>6794</v>
      </c>
      <c r="AT833" t="s">
        <v>12165</v>
      </c>
      <c r="AU833">
        <v>2006</v>
      </c>
      <c r="AV833">
        <v>38</v>
      </c>
      <c r="AW833">
        <v>10</v>
      </c>
      <c r="AX833" t="s">
        <v>74</v>
      </c>
      <c r="AY833" t="s">
        <v>74</v>
      </c>
      <c r="AZ833" t="s">
        <v>3394</v>
      </c>
      <c r="BA833" t="s">
        <v>74</v>
      </c>
      <c r="BB833">
        <v>3041</v>
      </c>
      <c r="BC833">
        <v>3056</v>
      </c>
      <c r="BD833" t="s">
        <v>74</v>
      </c>
      <c r="BE833" t="s">
        <v>13119</v>
      </c>
      <c r="BF833" t="str">
        <f>HYPERLINK("http://dx.doi.org/10.1016/j.soilbio.2006.02.018","http://dx.doi.org/10.1016/j.soilbio.2006.02.018")</f>
        <v>http://dx.doi.org/10.1016/j.soilbio.2006.02.018</v>
      </c>
      <c r="BG833" t="s">
        <v>74</v>
      </c>
      <c r="BH833" t="s">
        <v>74</v>
      </c>
      <c r="BI833">
        <v>16</v>
      </c>
      <c r="BJ833" t="s">
        <v>6796</v>
      </c>
      <c r="BK833" t="s">
        <v>197</v>
      </c>
      <c r="BL833" t="s">
        <v>6797</v>
      </c>
      <c r="BM833" t="s">
        <v>13090</v>
      </c>
      <c r="BN833" t="s">
        <v>74</v>
      </c>
      <c r="BO833" t="s">
        <v>74</v>
      </c>
      <c r="BP833" t="s">
        <v>74</v>
      </c>
      <c r="BQ833" t="s">
        <v>74</v>
      </c>
      <c r="BR833" t="s">
        <v>100</v>
      </c>
      <c r="BS833" t="s">
        <v>13120</v>
      </c>
      <c r="BT833" t="str">
        <f>HYPERLINK("https%3A%2F%2Fwww.webofscience.com%2Fwos%2Fwoscc%2Ffull-record%2FWOS:000241585600005","View Full Record in Web of Science")</f>
        <v>View Full Record in Web of Science</v>
      </c>
    </row>
    <row r="834" spans="1:72" x14ac:dyDescent="0.15">
      <c r="A834" t="s">
        <v>72</v>
      </c>
      <c r="B834" t="s">
        <v>13121</v>
      </c>
      <c r="C834" t="s">
        <v>74</v>
      </c>
      <c r="D834" t="s">
        <v>74</v>
      </c>
      <c r="E834" t="s">
        <v>74</v>
      </c>
      <c r="F834" t="s">
        <v>13122</v>
      </c>
      <c r="G834" t="s">
        <v>74</v>
      </c>
      <c r="H834" t="s">
        <v>74</v>
      </c>
      <c r="I834" t="s">
        <v>13123</v>
      </c>
      <c r="J834" t="s">
        <v>6783</v>
      </c>
      <c r="K834" t="s">
        <v>74</v>
      </c>
      <c r="L834" t="s">
        <v>74</v>
      </c>
      <c r="M834" t="s">
        <v>78</v>
      </c>
      <c r="N834" t="s">
        <v>176</v>
      </c>
      <c r="O834" t="s">
        <v>13076</v>
      </c>
      <c r="P834" t="s">
        <v>13077</v>
      </c>
      <c r="Q834" t="s">
        <v>13078</v>
      </c>
      <c r="R834" t="s">
        <v>74</v>
      </c>
      <c r="S834" t="s">
        <v>74</v>
      </c>
      <c r="T834" t="s">
        <v>13124</v>
      </c>
      <c r="U834" t="s">
        <v>13125</v>
      </c>
      <c r="V834" t="s">
        <v>13126</v>
      </c>
      <c r="W834" t="s">
        <v>13127</v>
      </c>
      <c r="X834" t="s">
        <v>13128</v>
      </c>
      <c r="Y834" t="s">
        <v>13129</v>
      </c>
      <c r="Z834" t="s">
        <v>13130</v>
      </c>
      <c r="AA834" t="s">
        <v>74</v>
      </c>
      <c r="AB834" t="s">
        <v>13131</v>
      </c>
      <c r="AC834" t="s">
        <v>74</v>
      </c>
      <c r="AD834" t="s">
        <v>74</v>
      </c>
      <c r="AE834" t="s">
        <v>74</v>
      </c>
      <c r="AF834" t="s">
        <v>74</v>
      </c>
      <c r="AG834">
        <v>28</v>
      </c>
      <c r="AH834">
        <v>140</v>
      </c>
      <c r="AI834">
        <v>159</v>
      </c>
      <c r="AJ834">
        <v>0</v>
      </c>
      <c r="AK834">
        <v>31</v>
      </c>
      <c r="AL834" t="s">
        <v>817</v>
      </c>
      <c r="AM834" t="s">
        <v>818</v>
      </c>
      <c r="AN834" t="s">
        <v>819</v>
      </c>
      <c r="AO834" t="s">
        <v>6792</v>
      </c>
      <c r="AP834" t="s">
        <v>74</v>
      </c>
      <c r="AQ834" t="s">
        <v>74</v>
      </c>
      <c r="AR834" t="s">
        <v>6793</v>
      </c>
      <c r="AS834" t="s">
        <v>6794</v>
      </c>
      <c r="AT834" t="s">
        <v>12165</v>
      </c>
      <c r="AU834">
        <v>2006</v>
      </c>
      <c r="AV834">
        <v>38</v>
      </c>
      <c r="AW834">
        <v>10</v>
      </c>
      <c r="AX834" t="s">
        <v>74</v>
      </c>
      <c r="AY834" t="s">
        <v>74</v>
      </c>
      <c r="AZ834" t="s">
        <v>3394</v>
      </c>
      <c r="BA834" t="s">
        <v>74</v>
      </c>
      <c r="BB834">
        <v>3057</v>
      </c>
      <c r="BC834">
        <v>3064</v>
      </c>
      <c r="BD834" t="s">
        <v>74</v>
      </c>
      <c r="BE834" t="s">
        <v>13132</v>
      </c>
      <c r="BF834" t="str">
        <f>HYPERLINK("http://dx.doi.org/10.1016/j.soilbio.2006.01.016","http://dx.doi.org/10.1016/j.soilbio.2006.01.016")</f>
        <v>http://dx.doi.org/10.1016/j.soilbio.2006.01.016</v>
      </c>
      <c r="BG834" t="s">
        <v>74</v>
      </c>
      <c r="BH834" t="s">
        <v>74</v>
      </c>
      <c r="BI834">
        <v>8</v>
      </c>
      <c r="BJ834" t="s">
        <v>6796</v>
      </c>
      <c r="BK834" t="s">
        <v>197</v>
      </c>
      <c r="BL834" t="s">
        <v>6797</v>
      </c>
      <c r="BM834" t="s">
        <v>13090</v>
      </c>
      <c r="BN834" t="s">
        <v>74</v>
      </c>
      <c r="BO834" t="s">
        <v>74</v>
      </c>
      <c r="BP834" t="s">
        <v>74</v>
      </c>
      <c r="BQ834" t="s">
        <v>74</v>
      </c>
      <c r="BR834" t="s">
        <v>100</v>
      </c>
      <c r="BS834" t="s">
        <v>13133</v>
      </c>
      <c r="BT834" t="str">
        <f>HYPERLINK("https%3A%2F%2Fwww.webofscience.com%2Fwos%2Fwoscc%2Ffull-record%2FWOS:000241585600006","View Full Record in Web of Science")</f>
        <v>View Full Record in Web of Science</v>
      </c>
    </row>
    <row r="835" spans="1:72" x14ac:dyDescent="0.15">
      <c r="A835" t="s">
        <v>72</v>
      </c>
      <c r="B835" t="s">
        <v>13134</v>
      </c>
      <c r="C835" t="s">
        <v>74</v>
      </c>
      <c r="D835" t="s">
        <v>74</v>
      </c>
      <c r="E835" t="s">
        <v>74</v>
      </c>
      <c r="F835" t="s">
        <v>13135</v>
      </c>
      <c r="G835" t="s">
        <v>74</v>
      </c>
      <c r="H835" t="s">
        <v>74</v>
      </c>
      <c r="I835" t="s">
        <v>13136</v>
      </c>
      <c r="J835" t="s">
        <v>6783</v>
      </c>
      <c r="K835" t="s">
        <v>74</v>
      </c>
      <c r="L835" t="s">
        <v>74</v>
      </c>
      <c r="M835" t="s">
        <v>78</v>
      </c>
      <c r="N835" t="s">
        <v>176</v>
      </c>
      <c r="O835" t="s">
        <v>13076</v>
      </c>
      <c r="P835" t="s">
        <v>13077</v>
      </c>
      <c r="Q835" t="s">
        <v>13078</v>
      </c>
      <c r="R835" t="s">
        <v>74</v>
      </c>
      <c r="S835" t="s">
        <v>74</v>
      </c>
      <c r="T835" t="s">
        <v>13137</v>
      </c>
      <c r="U835" t="s">
        <v>13138</v>
      </c>
      <c r="V835" t="s">
        <v>13139</v>
      </c>
      <c r="W835" t="s">
        <v>13140</v>
      </c>
      <c r="X835" t="s">
        <v>13141</v>
      </c>
      <c r="Y835" t="s">
        <v>8105</v>
      </c>
      <c r="Z835" t="s">
        <v>13142</v>
      </c>
      <c r="AA835" t="s">
        <v>13143</v>
      </c>
      <c r="AB835" t="s">
        <v>13144</v>
      </c>
      <c r="AC835" t="s">
        <v>74</v>
      </c>
      <c r="AD835" t="s">
        <v>74</v>
      </c>
      <c r="AE835" t="s">
        <v>74</v>
      </c>
      <c r="AF835" t="s">
        <v>74</v>
      </c>
      <c r="AG835">
        <v>87</v>
      </c>
      <c r="AH835">
        <v>58</v>
      </c>
      <c r="AI835">
        <v>67</v>
      </c>
      <c r="AJ835">
        <v>2</v>
      </c>
      <c r="AK835">
        <v>31</v>
      </c>
      <c r="AL835" t="s">
        <v>817</v>
      </c>
      <c r="AM835" t="s">
        <v>818</v>
      </c>
      <c r="AN835" t="s">
        <v>819</v>
      </c>
      <c r="AO835" t="s">
        <v>6792</v>
      </c>
      <c r="AP835" t="s">
        <v>13104</v>
      </c>
      <c r="AQ835" t="s">
        <v>74</v>
      </c>
      <c r="AR835" t="s">
        <v>6793</v>
      </c>
      <c r="AS835" t="s">
        <v>6794</v>
      </c>
      <c r="AT835" t="s">
        <v>12165</v>
      </c>
      <c r="AU835">
        <v>2006</v>
      </c>
      <c r="AV835">
        <v>38</v>
      </c>
      <c r="AW835">
        <v>10</v>
      </c>
      <c r="AX835" t="s">
        <v>74</v>
      </c>
      <c r="AY835" t="s">
        <v>74</v>
      </c>
      <c r="AZ835" t="s">
        <v>3394</v>
      </c>
      <c r="BA835" t="s">
        <v>74</v>
      </c>
      <c r="BB835">
        <v>3065</v>
      </c>
      <c r="BC835">
        <v>3082</v>
      </c>
      <c r="BD835" t="s">
        <v>74</v>
      </c>
      <c r="BE835" t="s">
        <v>13145</v>
      </c>
      <c r="BF835" t="str">
        <f>HYPERLINK("http://dx.doi.org/10.1016/j.soilbio.2006.03.025","http://dx.doi.org/10.1016/j.soilbio.2006.03.025")</f>
        <v>http://dx.doi.org/10.1016/j.soilbio.2006.03.025</v>
      </c>
      <c r="BG835" t="s">
        <v>74</v>
      </c>
      <c r="BH835" t="s">
        <v>74</v>
      </c>
      <c r="BI835">
        <v>18</v>
      </c>
      <c r="BJ835" t="s">
        <v>6796</v>
      </c>
      <c r="BK835" t="s">
        <v>197</v>
      </c>
      <c r="BL835" t="s">
        <v>6797</v>
      </c>
      <c r="BM835" t="s">
        <v>13090</v>
      </c>
      <c r="BN835" t="s">
        <v>74</v>
      </c>
      <c r="BO835" t="s">
        <v>74</v>
      </c>
      <c r="BP835" t="s">
        <v>74</v>
      </c>
      <c r="BQ835" t="s">
        <v>74</v>
      </c>
      <c r="BR835" t="s">
        <v>100</v>
      </c>
      <c r="BS835" t="s">
        <v>13146</v>
      </c>
      <c r="BT835" t="str">
        <f>HYPERLINK("https%3A%2F%2Fwww.webofscience.com%2Fwos%2Fwoscc%2Ffull-record%2FWOS:000241585600007","View Full Record in Web of Science")</f>
        <v>View Full Record in Web of Science</v>
      </c>
    </row>
    <row r="836" spans="1:72" x14ac:dyDescent="0.15">
      <c r="A836" t="s">
        <v>72</v>
      </c>
      <c r="B836" t="s">
        <v>13147</v>
      </c>
      <c r="C836" t="s">
        <v>74</v>
      </c>
      <c r="D836" t="s">
        <v>74</v>
      </c>
      <c r="E836" t="s">
        <v>74</v>
      </c>
      <c r="F836" t="s">
        <v>13148</v>
      </c>
      <c r="G836" t="s">
        <v>74</v>
      </c>
      <c r="H836" t="s">
        <v>74</v>
      </c>
      <c r="I836" t="s">
        <v>13149</v>
      </c>
      <c r="J836" t="s">
        <v>6783</v>
      </c>
      <c r="K836" t="s">
        <v>74</v>
      </c>
      <c r="L836" t="s">
        <v>74</v>
      </c>
      <c r="M836" t="s">
        <v>78</v>
      </c>
      <c r="N836" t="s">
        <v>176</v>
      </c>
      <c r="O836" t="s">
        <v>13076</v>
      </c>
      <c r="P836" t="s">
        <v>13077</v>
      </c>
      <c r="Q836" t="s">
        <v>13078</v>
      </c>
      <c r="R836" t="s">
        <v>74</v>
      </c>
      <c r="S836" t="s">
        <v>74</v>
      </c>
      <c r="T836" t="s">
        <v>13150</v>
      </c>
      <c r="U836" t="s">
        <v>13151</v>
      </c>
      <c r="V836" t="s">
        <v>13152</v>
      </c>
      <c r="W836" t="s">
        <v>13153</v>
      </c>
      <c r="X836" t="s">
        <v>13154</v>
      </c>
      <c r="Y836" t="s">
        <v>13155</v>
      </c>
      <c r="Z836" t="s">
        <v>13156</v>
      </c>
      <c r="AA836" t="s">
        <v>13157</v>
      </c>
      <c r="AB836" t="s">
        <v>13158</v>
      </c>
      <c r="AC836" t="s">
        <v>74</v>
      </c>
      <c r="AD836" t="s">
        <v>74</v>
      </c>
      <c r="AE836" t="s">
        <v>74</v>
      </c>
      <c r="AF836" t="s">
        <v>74</v>
      </c>
      <c r="AG836">
        <v>39</v>
      </c>
      <c r="AH836">
        <v>63</v>
      </c>
      <c r="AI836">
        <v>76</v>
      </c>
      <c r="AJ836">
        <v>1</v>
      </c>
      <c r="AK836">
        <v>21</v>
      </c>
      <c r="AL836" t="s">
        <v>817</v>
      </c>
      <c r="AM836" t="s">
        <v>818</v>
      </c>
      <c r="AN836" t="s">
        <v>819</v>
      </c>
      <c r="AO836" t="s">
        <v>6792</v>
      </c>
      <c r="AP836" t="s">
        <v>74</v>
      </c>
      <c r="AQ836" t="s">
        <v>74</v>
      </c>
      <c r="AR836" t="s">
        <v>6793</v>
      </c>
      <c r="AS836" t="s">
        <v>6794</v>
      </c>
      <c r="AT836" t="s">
        <v>12165</v>
      </c>
      <c r="AU836">
        <v>2006</v>
      </c>
      <c r="AV836">
        <v>38</v>
      </c>
      <c r="AW836">
        <v>10</v>
      </c>
      <c r="AX836" t="s">
        <v>74</v>
      </c>
      <c r="AY836" t="s">
        <v>74</v>
      </c>
      <c r="AZ836" t="s">
        <v>3394</v>
      </c>
      <c r="BA836" t="s">
        <v>74</v>
      </c>
      <c r="BB836">
        <v>3095</v>
      </c>
      <c r="BC836">
        <v>3106</v>
      </c>
      <c r="BD836" t="s">
        <v>74</v>
      </c>
      <c r="BE836" t="s">
        <v>13159</v>
      </c>
      <c r="BF836" t="str">
        <f>HYPERLINK("http://dx.doi.org/10.1016/j.soilbio.2005.12.011","http://dx.doi.org/10.1016/j.soilbio.2005.12.011")</f>
        <v>http://dx.doi.org/10.1016/j.soilbio.2005.12.011</v>
      </c>
      <c r="BG836" t="s">
        <v>74</v>
      </c>
      <c r="BH836" t="s">
        <v>74</v>
      </c>
      <c r="BI836">
        <v>12</v>
      </c>
      <c r="BJ836" t="s">
        <v>6796</v>
      </c>
      <c r="BK836" t="s">
        <v>197</v>
      </c>
      <c r="BL836" t="s">
        <v>6797</v>
      </c>
      <c r="BM836" t="s">
        <v>13090</v>
      </c>
      <c r="BN836" t="s">
        <v>74</v>
      </c>
      <c r="BO836" t="s">
        <v>74</v>
      </c>
      <c r="BP836" t="s">
        <v>74</v>
      </c>
      <c r="BQ836" t="s">
        <v>74</v>
      </c>
      <c r="BR836" t="s">
        <v>100</v>
      </c>
      <c r="BS836" t="s">
        <v>13160</v>
      </c>
      <c r="BT836" t="str">
        <f>HYPERLINK("https%3A%2F%2Fwww.webofscience.com%2Fwos%2Fwoscc%2Ffull-record%2FWOS:000241585600009","View Full Record in Web of Science")</f>
        <v>View Full Record in Web of Science</v>
      </c>
    </row>
    <row r="837" spans="1:72" x14ac:dyDescent="0.15">
      <c r="A837" t="s">
        <v>72</v>
      </c>
      <c r="B837" t="s">
        <v>13161</v>
      </c>
      <c r="C837" t="s">
        <v>74</v>
      </c>
      <c r="D837" t="s">
        <v>74</v>
      </c>
      <c r="E837" t="s">
        <v>74</v>
      </c>
      <c r="F837" t="s">
        <v>13162</v>
      </c>
      <c r="G837" t="s">
        <v>74</v>
      </c>
      <c r="H837" t="s">
        <v>74</v>
      </c>
      <c r="I837" t="s">
        <v>13163</v>
      </c>
      <c r="J837" t="s">
        <v>6783</v>
      </c>
      <c r="K837" t="s">
        <v>74</v>
      </c>
      <c r="L837" t="s">
        <v>74</v>
      </c>
      <c r="M837" t="s">
        <v>78</v>
      </c>
      <c r="N837" t="s">
        <v>176</v>
      </c>
      <c r="O837" t="s">
        <v>13076</v>
      </c>
      <c r="P837" t="s">
        <v>13077</v>
      </c>
      <c r="Q837" t="s">
        <v>13078</v>
      </c>
      <c r="R837" t="s">
        <v>74</v>
      </c>
      <c r="S837" t="s">
        <v>74</v>
      </c>
      <c r="T837" t="s">
        <v>13164</v>
      </c>
      <c r="U837" t="s">
        <v>13165</v>
      </c>
      <c r="V837" t="s">
        <v>13166</v>
      </c>
      <c r="W837" t="s">
        <v>13167</v>
      </c>
      <c r="X837" t="s">
        <v>13168</v>
      </c>
      <c r="Y837" t="s">
        <v>13169</v>
      </c>
      <c r="Z837" t="s">
        <v>13170</v>
      </c>
      <c r="AA837" t="s">
        <v>74</v>
      </c>
      <c r="AB837" t="s">
        <v>13171</v>
      </c>
      <c r="AC837" t="s">
        <v>74</v>
      </c>
      <c r="AD837" t="s">
        <v>74</v>
      </c>
      <c r="AE837" t="s">
        <v>74</v>
      </c>
      <c r="AF837" t="s">
        <v>74</v>
      </c>
      <c r="AG837">
        <v>33</v>
      </c>
      <c r="AH837">
        <v>124</v>
      </c>
      <c r="AI837">
        <v>136</v>
      </c>
      <c r="AJ837">
        <v>2</v>
      </c>
      <c r="AK837">
        <v>54</v>
      </c>
      <c r="AL837" t="s">
        <v>817</v>
      </c>
      <c r="AM837" t="s">
        <v>818</v>
      </c>
      <c r="AN837" t="s">
        <v>819</v>
      </c>
      <c r="AO837" t="s">
        <v>6792</v>
      </c>
      <c r="AP837" t="s">
        <v>13104</v>
      </c>
      <c r="AQ837" t="s">
        <v>74</v>
      </c>
      <c r="AR837" t="s">
        <v>6793</v>
      </c>
      <c r="AS837" t="s">
        <v>6794</v>
      </c>
      <c r="AT837" t="s">
        <v>12165</v>
      </c>
      <c r="AU837">
        <v>2006</v>
      </c>
      <c r="AV837">
        <v>38</v>
      </c>
      <c r="AW837">
        <v>10</v>
      </c>
      <c r="AX837" t="s">
        <v>74</v>
      </c>
      <c r="AY837" t="s">
        <v>74</v>
      </c>
      <c r="AZ837" t="s">
        <v>3394</v>
      </c>
      <c r="BA837" t="s">
        <v>74</v>
      </c>
      <c r="BB837">
        <v>3107</v>
      </c>
      <c r="BC837">
        <v>3119</v>
      </c>
      <c r="BD837" t="s">
        <v>74</v>
      </c>
      <c r="BE837" t="s">
        <v>13172</v>
      </c>
      <c r="BF837" t="str">
        <f>HYPERLINK("http://dx.doi.org/10.1016/j.soilbio.2006.01.014","http://dx.doi.org/10.1016/j.soilbio.2006.01.014")</f>
        <v>http://dx.doi.org/10.1016/j.soilbio.2006.01.014</v>
      </c>
      <c r="BG837" t="s">
        <v>74</v>
      </c>
      <c r="BH837" t="s">
        <v>74</v>
      </c>
      <c r="BI837">
        <v>13</v>
      </c>
      <c r="BJ837" t="s">
        <v>6796</v>
      </c>
      <c r="BK837" t="s">
        <v>197</v>
      </c>
      <c r="BL837" t="s">
        <v>6797</v>
      </c>
      <c r="BM837" t="s">
        <v>13090</v>
      </c>
      <c r="BN837" t="s">
        <v>74</v>
      </c>
      <c r="BO837" t="s">
        <v>74</v>
      </c>
      <c r="BP837" t="s">
        <v>74</v>
      </c>
      <c r="BQ837" t="s">
        <v>74</v>
      </c>
      <c r="BR837" t="s">
        <v>100</v>
      </c>
      <c r="BS837" t="s">
        <v>13173</v>
      </c>
      <c r="BT837" t="str">
        <f>HYPERLINK("https%3A%2F%2Fwww.webofscience.com%2Fwos%2Fwoscc%2Ffull-record%2FWOS:000241585600010","View Full Record in Web of Science")</f>
        <v>View Full Record in Web of Science</v>
      </c>
    </row>
    <row r="838" spans="1:72" x14ac:dyDescent="0.15">
      <c r="A838" t="s">
        <v>72</v>
      </c>
      <c r="B838" t="s">
        <v>13174</v>
      </c>
      <c r="C838" t="s">
        <v>74</v>
      </c>
      <c r="D838" t="s">
        <v>74</v>
      </c>
      <c r="E838" t="s">
        <v>74</v>
      </c>
      <c r="F838" t="s">
        <v>13175</v>
      </c>
      <c r="G838" t="s">
        <v>74</v>
      </c>
      <c r="H838" t="s">
        <v>74</v>
      </c>
      <c r="I838" t="s">
        <v>13176</v>
      </c>
      <c r="J838" t="s">
        <v>6783</v>
      </c>
      <c r="K838" t="s">
        <v>74</v>
      </c>
      <c r="L838" t="s">
        <v>74</v>
      </c>
      <c r="M838" t="s">
        <v>78</v>
      </c>
      <c r="N838" t="s">
        <v>176</v>
      </c>
      <c r="O838" t="s">
        <v>13076</v>
      </c>
      <c r="P838" t="s">
        <v>13077</v>
      </c>
      <c r="Q838" t="s">
        <v>13078</v>
      </c>
      <c r="R838" t="s">
        <v>74</v>
      </c>
      <c r="S838" t="s">
        <v>74</v>
      </c>
      <c r="T838" t="s">
        <v>13177</v>
      </c>
      <c r="U838" t="s">
        <v>13178</v>
      </c>
      <c r="V838" t="s">
        <v>13179</v>
      </c>
      <c r="W838" t="s">
        <v>13180</v>
      </c>
      <c r="X838" t="s">
        <v>13181</v>
      </c>
      <c r="Y838" t="s">
        <v>13182</v>
      </c>
      <c r="Z838" t="s">
        <v>13183</v>
      </c>
      <c r="AA838" t="s">
        <v>13184</v>
      </c>
      <c r="AB838" t="s">
        <v>13185</v>
      </c>
      <c r="AC838" t="s">
        <v>74</v>
      </c>
      <c r="AD838" t="s">
        <v>74</v>
      </c>
      <c r="AE838" t="s">
        <v>74</v>
      </c>
      <c r="AF838" t="s">
        <v>74</v>
      </c>
      <c r="AG838">
        <v>27</v>
      </c>
      <c r="AH838">
        <v>75</v>
      </c>
      <c r="AI838">
        <v>96</v>
      </c>
      <c r="AJ838">
        <v>6</v>
      </c>
      <c r="AK838">
        <v>73</v>
      </c>
      <c r="AL838" t="s">
        <v>817</v>
      </c>
      <c r="AM838" t="s">
        <v>818</v>
      </c>
      <c r="AN838" t="s">
        <v>819</v>
      </c>
      <c r="AO838" t="s">
        <v>6792</v>
      </c>
      <c r="AP838" t="s">
        <v>74</v>
      </c>
      <c r="AQ838" t="s">
        <v>74</v>
      </c>
      <c r="AR838" t="s">
        <v>6793</v>
      </c>
      <c r="AS838" t="s">
        <v>6794</v>
      </c>
      <c r="AT838" t="s">
        <v>12165</v>
      </c>
      <c r="AU838">
        <v>2006</v>
      </c>
      <c r="AV838">
        <v>38</v>
      </c>
      <c r="AW838">
        <v>10</v>
      </c>
      <c r="AX838" t="s">
        <v>74</v>
      </c>
      <c r="AY838" t="s">
        <v>74</v>
      </c>
      <c r="AZ838" t="s">
        <v>3394</v>
      </c>
      <c r="BA838" t="s">
        <v>74</v>
      </c>
      <c r="BB838">
        <v>3120</v>
      </c>
      <c r="BC838">
        <v>3129</v>
      </c>
      <c r="BD838" t="s">
        <v>74</v>
      </c>
      <c r="BE838" t="s">
        <v>13186</v>
      </c>
      <c r="BF838" t="str">
        <f>HYPERLINK("http://dx.doi.org/10.1016/j.soilbio.2006.01.015","http://dx.doi.org/10.1016/j.soilbio.2006.01.015")</f>
        <v>http://dx.doi.org/10.1016/j.soilbio.2006.01.015</v>
      </c>
      <c r="BG838" t="s">
        <v>74</v>
      </c>
      <c r="BH838" t="s">
        <v>74</v>
      </c>
      <c r="BI838">
        <v>10</v>
      </c>
      <c r="BJ838" t="s">
        <v>6796</v>
      </c>
      <c r="BK838" t="s">
        <v>197</v>
      </c>
      <c r="BL838" t="s">
        <v>6797</v>
      </c>
      <c r="BM838" t="s">
        <v>13090</v>
      </c>
      <c r="BN838" t="s">
        <v>74</v>
      </c>
      <c r="BO838" t="s">
        <v>74</v>
      </c>
      <c r="BP838" t="s">
        <v>74</v>
      </c>
      <c r="BQ838" t="s">
        <v>74</v>
      </c>
      <c r="BR838" t="s">
        <v>100</v>
      </c>
      <c r="BS838" t="s">
        <v>13187</v>
      </c>
      <c r="BT838" t="str">
        <f>HYPERLINK("https%3A%2F%2Fwww.webofscience.com%2Fwos%2Fwoscc%2Ffull-record%2FWOS:000241585600011","View Full Record in Web of Science")</f>
        <v>View Full Record in Web of Science</v>
      </c>
    </row>
    <row r="839" spans="1:72" x14ac:dyDescent="0.15">
      <c r="A839" t="s">
        <v>72</v>
      </c>
      <c r="B839" t="s">
        <v>13188</v>
      </c>
      <c r="C839" t="s">
        <v>74</v>
      </c>
      <c r="D839" t="s">
        <v>74</v>
      </c>
      <c r="E839" t="s">
        <v>74</v>
      </c>
      <c r="F839" t="s">
        <v>13189</v>
      </c>
      <c r="G839" t="s">
        <v>74</v>
      </c>
      <c r="H839" t="s">
        <v>74</v>
      </c>
      <c r="I839" t="s">
        <v>13190</v>
      </c>
      <c r="J839" t="s">
        <v>6783</v>
      </c>
      <c r="K839" t="s">
        <v>74</v>
      </c>
      <c r="L839" t="s">
        <v>74</v>
      </c>
      <c r="M839" t="s">
        <v>78</v>
      </c>
      <c r="N839" t="s">
        <v>176</v>
      </c>
      <c r="O839" t="s">
        <v>13076</v>
      </c>
      <c r="P839" t="s">
        <v>13077</v>
      </c>
      <c r="Q839" t="s">
        <v>13078</v>
      </c>
      <c r="R839" t="s">
        <v>74</v>
      </c>
      <c r="S839" t="s">
        <v>74</v>
      </c>
      <c r="T839" t="s">
        <v>13191</v>
      </c>
      <c r="U839" t="s">
        <v>13192</v>
      </c>
      <c r="V839" t="s">
        <v>13193</v>
      </c>
      <c r="W839" t="s">
        <v>13194</v>
      </c>
      <c r="X839" t="s">
        <v>13195</v>
      </c>
      <c r="Y839" t="s">
        <v>13196</v>
      </c>
      <c r="Z839" t="s">
        <v>13197</v>
      </c>
      <c r="AA839" t="s">
        <v>13198</v>
      </c>
      <c r="AB839" t="s">
        <v>13199</v>
      </c>
      <c r="AC839" t="s">
        <v>74</v>
      </c>
      <c r="AD839" t="s">
        <v>74</v>
      </c>
      <c r="AE839" t="s">
        <v>74</v>
      </c>
      <c r="AF839" t="s">
        <v>74</v>
      </c>
      <c r="AG839">
        <v>42</v>
      </c>
      <c r="AH839">
        <v>100</v>
      </c>
      <c r="AI839">
        <v>120</v>
      </c>
      <c r="AJ839">
        <v>1</v>
      </c>
      <c r="AK839">
        <v>58</v>
      </c>
      <c r="AL839" t="s">
        <v>817</v>
      </c>
      <c r="AM839" t="s">
        <v>818</v>
      </c>
      <c r="AN839" t="s">
        <v>819</v>
      </c>
      <c r="AO839" t="s">
        <v>6792</v>
      </c>
      <c r="AP839" t="s">
        <v>13104</v>
      </c>
      <c r="AQ839" t="s">
        <v>74</v>
      </c>
      <c r="AR839" t="s">
        <v>6793</v>
      </c>
      <c r="AS839" t="s">
        <v>6794</v>
      </c>
      <c r="AT839" t="s">
        <v>12165</v>
      </c>
      <c r="AU839">
        <v>2006</v>
      </c>
      <c r="AV839">
        <v>38</v>
      </c>
      <c r="AW839">
        <v>10</v>
      </c>
      <c r="AX839" t="s">
        <v>74</v>
      </c>
      <c r="AY839" t="s">
        <v>74</v>
      </c>
      <c r="AZ839" t="s">
        <v>3394</v>
      </c>
      <c r="BA839" t="s">
        <v>74</v>
      </c>
      <c r="BB839">
        <v>3130</v>
      </c>
      <c r="BC839">
        <v>3140</v>
      </c>
      <c r="BD839" t="s">
        <v>74</v>
      </c>
      <c r="BE839" t="s">
        <v>13200</v>
      </c>
      <c r="BF839" t="str">
        <f>HYPERLINK("http://dx.doi.org/10.1016/j.soilbio.2006.01.012","http://dx.doi.org/10.1016/j.soilbio.2006.01.012")</f>
        <v>http://dx.doi.org/10.1016/j.soilbio.2006.01.012</v>
      </c>
      <c r="BG839" t="s">
        <v>74</v>
      </c>
      <c r="BH839" t="s">
        <v>74</v>
      </c>
      <c r="BI839">
        <v>11</v>
      </c>
      <c r="BJ839" t="s">
        <v>6796</v>
      </c>
      <c r="BK839" t="s">
        <v>197</v>
      </c>
      <c r="BL839" t="s">
        <v>6797</v>
      </c>
      <c r="BM839" t="s">
        <v>13090</v>
      </c>
      <c r="BN839" t="s">
        <v>74</v>
      </c>
      <c r="BO839" t="s">
        <v>74</v>
      </c>
      <c r="BP839" t="s">
        <v>74</v>
      </c>
      <c r="BQ839" t="s">
        <v>74</v>
      </c>
      <c r="BR839" t="s">
        <v>100</v>
      </c>
      <c r="BS839" t="s">
        <v>13201</v>
      </c>
      <c r="BT839" t="str">
        <f>HYPERLINK("https%3A%2F%2Fwww.webofscience.com%2Fwos%2Fwoscc%2Ffull-record%2FWOS:000241585600012","View Full Record in Web of Science")</f>
        <v>View Full Record in Web of Science</v>
      </c>
    </row>
    <row r="840" spans="1:72" x14ac:dyDescent="0.15">
      <c r="A840" t="s">
        <v>72</v>
      </c>
      <c r="B840" t="s">
        <v>13202</v>
      </c>
      <c r="C840" t="s">
        <v>74</v>
      </c>
      <c r="D840" t="s">
        <v>74</v>
      </c>
      <c r="E840" t="s">
        <v>74</v>
      </c>
      <c r="F840" t="s">
        <v>13203</v>
      </c>
      <c r="G840" t="s">
        <v>74</v>
      </c>
      <c r="H840" t="s">
        <v>74</v>
      </c>
      <c r="I840" t="s">
        <v>13204</v>
      </c>
      <c r="J840" t="s">
        <v>6783</v>
      </c>
      <c r="K840" t="s">
        <v>74</v>
      </c>
      <c r="L840" t="s">
        <v>74</v>
      </c>
      <c r="M840" t="s">
        <v>78</v>
      </c>
      <c r="N840" t="s">
        <v>176</v>
      </c>
      <c r="O840" t="s">
        <v>13076</v>
      </c>
      <c r="P840" t="s">
        <v>13077</v>
      </c>
      <c r="Q840" t="s">
        <v>13078</v>
      </c>
      <c r="R840" t="s">
        <v>74</v>
      </c>
      <c r="S840" t="s">
        <v>74</v>
      </c>
      <c r="T840" t="s">
        <v>13205</v>
      </c>
      <c r="U840" t="s">
        <v>13206</v>
      </c>
      <c r="V840" t="s">
        <v>13207</v>
      </c>
      <c r="W840" t="s">
        <v>4654</v>
      </c>
      <c r="X840" t="s">
        <v>514</v>
      </c>
      <c r="Y840" t="s">
        <v>13208</v>
      </c>
      <c r="Z840" t="s">
        <v>13209</v>
      </c>
      <c r="AA840" t="s">
        <v>11447</v>
      </c>
      <c r="AB840" t="s">
        <v>12123</v>
      </c>
      <c r="AC840" t="s">
        <v>1538</v>
      </c>
      <c r="AD840" t="s">
        <v>1254</v>
      </c>
      <c r="AE840" t="s">
        <v>74</v>
      </c>
      <c r="AF840" t="s">
        <v>74</v>
      </c>
      <c r="AG840">
        <v>76</v>
      </c>
      <c r="AH840">
        <v>66</v>
      </c>
      <c r="AI840">
        <v>70</v>
      </c>
      <c r="AJ840">
        <v>1</v>
      </c>
      <c r="AK840">
        <v>20</v>
      </c>
      <c r="AL840" t="s">
        <v>817</v>
      </c>
      <c r="AM840" t="s">
        <v>818</v>
      </c>
      <c r="AN840" t="s">
        <v>819</v>
      </c>
      <c r="AO840" t="s">
        <v>6792</v>
      </c>
      <c r="AP840" t="s">
        <v>74</v>
      </c>
      <c r="AQ840" t="s">
        <v>74</v>
      </c>
      <c r="AR840" t="s">
        <v>6793</v>
      </c>
      <c r="AS840" t="s">
        <v>6794</v>
      </c>
      <c r="AT840" t="s">
        <v>12165</v>
      </c>
      <c r="AU840">
        <v>2006</v>
      </c>
      <c r="AV840">
        <v>38</v>
      </c>
      <c r="AW840">
        <v>10</v>
      </c>
      <c r="AX840" t="s">
        <v>74</v>
      </c>
      <c r="AY840" t="s">
        <v>74</v>
      </c>
      <c r="AZ840" t="s">
        <v>3394</v>
      </c>
      <c r="BA840" t="s">
        <v>74</v>
      </c>
      <c r="BB840">
        <v>3141</v>
      </c>
      <c r="BC840">
        <v>3151</v>
      </c>
      <c r="BD840" t="s">
        <v>74</v>
      </c>
      <c r="BE840" t="s">
        <v>13210</v>
      </c>
      <c r="BF840" t="str">
        <f>HYPERLINK("http://dx.doi.org/10.1016/j.soilbio.2005.12.007","http://dx.doi.org/10.1016/j.soilbio.2005.12.007")</f>
        <v>http://dx.doi.org/10.1016/j.soilbio.2005.12.007</v>
      </c>
      <c r="BG840" t="s">
        <v>74</v>
      </c>
      <c r="BH840" t="s">
        <v>74</v>
      </c>
      <c r="BI840">
        <v>11</v>
      </c>
      <c r="BJ840" t="s">
        <v>6796</v>
      </c>
      <c r="BK840" t="s">
        <v>197</v>
      </c>
      <c r="BL840" t="s">
        <v>6797</v>
      </c>
      <c r="BM840" t="s">
        <v>13090</v>
      </c>
      <c r="BN840" t="s">
        <v>74</v>
      </c>
      <c r="BO840" t="s">
        <v>74</v>
      </c>
      <c r="BP840" t="s">
        <v>74</v>
      </c>
      <c r="BQ840" t="s">
        <v>74</v>
      </c>
      <c r="BR840" t="s">
        <v>100</v>
      </c>
      <c r="BS840" t="s">
        <v>13211</v>
      </c>
      <c r="BT840" t="str">
        <f>HYPERLINK("https%3A%2F%2Fwww.webofscience.com%2Fwos%2Fwoscc%2Ffull-record%2FWOS:000241585600013","View Full Record in Web of Science")</f>
        <v>View Full Record in Web of Science</v>
      </c>
    </row>
    <row r="841" spans="1:72" x14ac:dyDescent="0.15">
      <c r="A841" t="s">
        <v>72</v>
      </c>
      <c r="B841" t="s">
        <v>13212</v>
      </c>
      <c r="C841" t="s">
        <v>74</v>
      </c>
      <c r="D841" t="s">
        <v>74</v>
      </c>
      <c r="E841" t="s">
        <v>74</v>
      </c>
      <c r="F841" t="s">
        <v>13213</v>
      </c>
      <c r="G841" t="s">
        <v>74</v>
      </c>
      <c r="H841" t="s">
        <v>74</v>
      </c>
      <c r="I841" t="s">
        <v>13214</v>
      </c>
      <c r="J841" t="s">
        <v>6783</v>
      </c>
      <c r="K841" t="s">
        <v>74</v>
      </c>
      <c r="L841" t="s">
        <v>74</v>
      </c>
      <c r="M841" t="s">
        <v>78</v>
      </c>
      <c r="N841" t="s">
        <v>176</v>
      </c>
      <c r="O841" t="s">
        <v>13076</v>
      </c>
      <c r="P841" t="s">
        <v>13077</v>
      </c>
      <c r="Q841" t="s">
        <v>13078</v>
      </c>
      <c r="R841" t="s">
        <v>74</v>
      </c>
      <c r="S841" t="s">
        <v>74</v>
      </c>
      <c r="T841" t="s">
        <v>13215</v>
      </c>
      <c r="U841" t="s">
        <v>13216</v>
      </c>
      <c r="V841" t="s">
        <v>13217</v>
      </c>
      <c r="W841" t="s">
        <v>13218</v>
      </c>
      <c r="X841" t="s">
        <v>13219</v>
      </c>
      <c r="Y841" t="s">
        <v>13220</v>
      </c>
      <c r="Z841" t="s">
        <v>13221</v>
      </c>
      <c r="AA841" t="s">
        <v>74</v>
      </c>
      <c r="AB841" t="s">
        <v>13222</v>
      </c>
      <c r="AC841" t="s">
        <v>74</v>
      </c>
      <c r="AD841" t="s">
        <v>74</v>
      </c>
      <c r="AE841" t="s">
        <v>74</v>
      </c>
      <c r="AF841" t="s">
        <v>74</v>
      </c>
      <c r="AG841">
        <v>35</v>
      </c>
      <c r="AH841">
        <v>6</v>
      </c>
      <c r="AI841">
        <v>7</v>
      </c>
      <c r="AJ841">
        <v>0</v>
      </c>
      <c r="AK841">
        <v>16</v>
      </c>
      <c r="AL841" t="s">
        <v>817</v>
      </c>
      <c r="AM841" t="s">
        <v>818</v>
      </c>
      <c r="AN841" t="s">
        <v>819</v>
      </c>
      <c r="AO841" t="s">
        <v>6792</v>
      </c>
      <c r="AP841" t="s">
        <v>74</v>
      </c>
      <c r="AQ841" t="s">
        <v>74</v>
      </c>
      <c r="AR841" t="s">
        <v>6793</v>
      </c>
      <c r="AS841" t="s">
        <v>6794</v>
      </c>
      <c r="AT841" t="s">
        <v>12165</v>
      </c>
      <c r="AU841">
        <v>2006</v>
      </c>
      <c r="AV841">
        <v>38</v>
      </c>
      <c r="AW841">
        <v>10</v>
      </c>
      <c r="AX841" t="s">
        <v>74</v>
      </c>
      <c r="AY841" t="s">
        <v>74</v>
      </c>
      <c r="AZ841" t="s">
        <v>3394</v>
      </c>
      <c r="BA841" t="s">
        <v>74</v>
      </c>
      <c r="BB841">
        <v>3152</v>
      </c>
      <c r="BC841">
        <v>3157</v>
      </c>
      <c r="BD841" t="s">
        <v>74</v>
      </c>
      <c r="BE841" t="s">
        <v>13223</v>
      </c>
      <c r="BF841" t="str">
        <f>HYPERLINK("http://dx.doi.org/10.1016/j.soilbio.2006.02.006","http://dx.doi.org/10.1016/j.soilbio.2006.02.006")</f>
        <v>http://dx.doi.org/10.1016/j.soilbio.2006.02.006</v>
      </c>
      <c r="BG841" t="s">
        <v>74</v>
      </c>
      <c r="BH841" t="s">
        <v>74</v>
      </c>
      <c r="BI841">
        <v>6</v>
      </c>
      <c r="BJ841" t="s">
        <v>6796</v>
      </c>
      <c r="BK841" t="s">
        <v>197</v>
      </c>
      <c r="BL841" t="s">
        <v>6797</v>
      </c>
      <c r="BM841" t="s">
        <v>13090</v>
      </c>
      <c r="BN841" t="s">
        <v>74</v>
      </c>
      <c r="BO841" t="s">
        <v>74</v>
      </c>
      <c r="BP841" t="s">
        <v>74</v>
      </c>
      <c r="BQ841" t="s">
        <v>74</v>
      </c>
      <c r="BR841" t="s">
        <v>100</v>
      </c>
      <c r="BS841" t="s">
        <v>13224</v>
      </c>
      <c r="BT841" t="str">
        <f>HYPERLINK("https%3A%2F%2Fwww.webofscience.com%2Fwos%2Fwoscc%2Ffull-record%2FWOS:000241585600014","View Full Record in Web of Science")</f>
        <v>View Full Record in Web of Science</v>
      </c>
    </row>
    <row r="842" spans="1:72" x14ac:dyDescent="0.15">
      <c r="A842" t="s">
        <v>72</v>
      </c>
      <c r="B842" t="s">
        <v>13225</v>
      </c>
      <c r="C842" t="s">
        <v>74</v>
      </c>
      <c r="D842" t="s">
        <v>74</v>
      </c>
      <c r="E842" t="s">
        <v>74</v>
      </c>
      <c r="F842" t="s">
        <v>13226</v>
      </c>
      <c r="G842" t="s">
        <v>74</v>
      </c>
      <c r="H842" t="s">
        <v>74</v>
      </c>
      <c r="I842" t="s">
        <v>13227</v>
      </c>
      <c r="J842" t="s">
        <v>6783</v>
      </c>
      <c r="K842" t="s">
        <v>74</v>
      </c>
      <c r="L842" t="s">
        <v>74</v>
      </c>
      <c r="M842" t="s">
        <v>78</v>
      </c>
      <c r="N842" t="s">
        <v>176</v>
      </c>
      <c r="O842" t="s">
        <v>13076</v>
      </c>
      <c r="P842" t="s">
        <v>13077</v>
      </c>
      <c r="Q842" t="s">
        <v>13078</v>
      </c>
      <c r="R842" t="s">
        <v>74</v>
      </c>
      <c r="S842" t="s">
        <v>74</v>
      </c>
      <c r="T842" t="s">
        <v>13228</v>
      </c>
      <c r="U842" t="s">
        <v>13229</v>
      </c>
      <c r="V842" t="s">
        <v>13230</v>
      </c>
      <c r="W842" t="s">
        <v>13231</v>
      </c>
      <c r="X842" t="s">
        <v>13232</v>
      </c>
      <c r="Y842" t="s">
        <v>13233</v>
      </c>
      <c r="Z842" t="s">
        <v>13234</v>
      </c>
      <c r="AA842" t="s">
        <v>13235</v>
      </c>
      <c r="AB842" t="s">
        <v>13236</v>
      </c>
      <c r="AC842" t="s">
        <v>74</v>
      </c>
      <c r="AD842" t="s">
        <v>74</v>
      </c>
      <c r="AE842" t="s">
        <v>74</v>
      </c>
      <c r="AF842" t="s">
        <v>74</v>
      </c>
      <c r="AG842">
        <v>46</v>
      </c>
      <c r="AH842">
        <v>46</v>
      </c>
      <c r="AI842">
        <v>49</v>
      </c>
      <c r="AJ842">
        <v>2</v>
      </c>
      <c r="AK842">
        <v>22</v>
      </c>
      <c r="AL842" t="s">
        <v>817</v>
      </c>
      <c r="AM842" t="s">
        <v>818</v>
      </c>
      <c r="AN842" t="s">
        <v>819</v>
      </c>
      <c r="AO842" t="s">
        <v>6792</v>
      </c>
      <c r="AP842" t="s">
        <v>74</v>
      </c>
      <c r="AQ842" t="s">
        <v>74</v>
      </c>
      <c r="AR842" t="s">
        <v>6793</v>
      </c>
      <c r="AS842" t="s">
        <v>6794</v>
      </c>
      <c r="AT842" t="s">
        <v>12165</v>
      </c>
      <c r="AU842">
        <v>2006</v>
      </c>
      <c r="AV842">
        <v>38</v>
      </c>
      <c r="AW842">
        <v>10</v>
      </c>
      <c r="AX842" t="s">
        <v>74</v>
      </c>
      <c r="AY842" t="s">
        <v>74</v>
      </c>
      <c r="AZ842" t="s">
        <v>3394</v>
      </c>
      <c r="BA842" t="s">
        <v>74</v>
      </c>
      <c r="BB842">
        <v>3171</v>
      </c>
      <c r="BC842">
        <v>3180</v>
      </c>
      <c r="BD842" t="s">
        <v>74</v>
      </c>
      <c r="BE842" t="s">
        <v>13237</v>
      </c>
      <c r="BF842" t="str">
        <f>HYPERLINK("http://dx.doi.org/10.1016/j.soilbio.2006.01.009","http://dx.doi.org/10.1016/j.soilbio.2006.01.009")</f>
        <v>http://dx.doi.org/10.1016/j.soilbio.2006.01.009</v>
      </c>
      <c r="BG842" t="s">
        <v>74</v>
      </c>
      <c r="BH842" t="s">
        <v>74</v>
      </c>
      <c r="BI842">
        <v>10</v>
      </c>
      <c r="BJ842" t="s">
        <v>6796</v>
      </c>
      <c r="BK842" t="s">
        <v>197</v>
      </c>
      <c r="BL842" t="s">
        <v>6797</v>
      </c>
      <c r="BM842" t="s">
        <v>13090</v>
      </c>
      <c r="BN842" t="s">
        <v>74</v>
      </c>
      <c r="BO842" t="s">
        <v>74</v>
      </c>
      <c r="BP842" t="s">
        <v>74</v>
      </c>
      <c r="BQ842" t="s">
        <v>74</v>
      </c>
      <c r="BR842" t="s">
        <v>100</v>
      </c>
      <c r="BS842" t="s">
        <v>13238</v>
      </c>
      <c r="BT842" t="str">
        <f>HYPERLINK("https%3A%2F%2Fwww.webofscience.com%2Fwos%2Fwoscc%2Ffull-record%2FWOS:000241585600016","View Full Record in Web of Science")</f>
        <v>View Full Record in Web of Science</v>
      </c>
    </row>
    <row r="843" spans="1:72" x14ac:dyDescent="0.15">
      <c r="A843" t="s">
        <v>72</v>
      </c>
      <c r="B843" t="s">
        <v>13239</v>
      </c>
      <c r="C843" t="s">
        <v>74</v>
      </c>
      <c r="D843" t="s">
        <v>74</v>
      </c>
      <c r="E843" t="s">
        <v>74</v>
      </c>
      <c r="F843" t="s">
        <v>13240</v>
      </c>
      <c r="G843" t="s">
        <v>74</v>
      </c>
      <c r="H843" t="s">
        <v>74</v>
      </c>
      <c r="I843" t="s">
        <v>13241</v>
      </c>
      <c r="J843" t="s">
        <v>13242</v>
      </c>
      <c r="K843" t="s">
        <v>74</v>
      </c>
      <c r="L843" t="s">
        <v>74</v>
      </c>
      <c r="M843" t="s">
        <v>78</v>
      </c>
      <c r="N843" t="s">
        <v>79</v>
      </c>
      <c r="O843" t="s">
        <v>74</v>
      </c>
      <c r="P843" t="s">
        <v>74</v>
      </c>
      <c r="Q843" t="s">
        <v>74</v>
      </c>
      <c r="R843" t="s">
        <v>74</v>
      </c>
      <c r="S843" t="s">
        <v>74</v>
      </c>
      <c r="T843" t="s">
        <v>74</v>
      </c>
      <c r="U843" t="s">
        <v>13243</v>
      </c>
      <c r="V843" t="s">
        <v>13244</v>
      </c>
      <c r="W843" t="s">
        <v>13245</v>
      </c>
      <c r="X843" t="s">
        <v>13246</v>
      </c>
      <c r="Y843" t="s">
        <v>13247</v>
      </c>
      <c r="Z843" t="s">
        <v>13248</v>
      </c>
      <c r="AA843" t="s">
        <v>74</v>
      </c>
      <c r="AB843" t="s">
        <v>74</v>
      </c>
      <c r="AC843" t="s">
        <v>74</v>
      </c>
      <c r="AD843" t="s">
        <v>74</v>
      </c>
      <c r="AE843" t="s">
        <v>74</v>
      </c>
      <c r="AF843" t="s">
        <v>74</v>
      </c>
      <c r="AG843">
        <v>15</v>
      </c>
      <c r="AH843">
        <v>5</v>
      </c>
      <c r="AI843">
        <v>8</v>
      </c>
      <c r="AJ843">
        <v>0</v>
      </c>
      <c r="AK843">
        <v>1</v>
      </c>
      <c r="AL843" t="s">
        <v>2428</v>
      </c>
      <c r="AM843" t="s">
        <v>2429</v>
      </c>
      <c r="AN843" t="s">
        <v>2430</v>
      </c>
      <c r="AO843" t="s">
        <v>74</v>
      </c>
      <c r="AP843" t="s">
        <v>13249</v>
      </c>
      <c r="AQ843" t="s">
        <v>74</v>
      </c>
      <c r="AR843" t="s">
        <v>13250</v>
      </c>
      <c r="AS843" t="s">
        <v>13251</v>
      </c>
      <c r="AT843" t="s">
        <v>12165</v>
      </c>
      <c r="AU843">
        <v>2006</v>
      </c>
      <c r="AV843">
        <v>58</v>
      </c>
      <c r="AW843">
        <v>5</v>
      </c>
      <c r="AX843" t="s">
        <v>74</v>
      </c>
      <c r="AY843" t="s">
        <v>74</v>
      </c>
      <c r="AZ843" t="s">
        <v>74</v>
      </c>
      <c r="BA843" t="s">
        <v>74</v>
      </c>
      <c r="BB843">
        <v>575</v>
      </c>
      <c r="BC843">
        <v>583</v>
      </c>
      <c r="BD843" t="s">
        <v>74</v>
      </c>
      <c r="BE843" t="s">
        <v>13252</v>
      </c>
      <c r="BF843" t="str">
        <f>HYPERLINK("http://dx.doi.org/10.1111/j.1600-0870.2006.00204.x","http://dx.doi.org/10.1111/j.1600-0870.2006.00204.x")</f>
        <v>http://dx.doi.org/10.1111/j.1600-0870.2006.00204.x</v>
      </c>
      <c r="BG843" t="s">
        <v>74</v>
      </c>
      <c r="BH843" t="s">
        <v>74</v>
      </c>
      <c r="BI843">
        <v>9</v>
      </c>
      <c r="BJ843" t="s">
        <v>5212</v>
      </c>
      <c r="BK843" t="s">
        <v>97</v>
      </c>
      <c r="BL843" t="s">
        <v>5212</v>
      </c>
      <c r="BM843" t="s">
        <v>13253</v>
      </c>
      <c r="BN843" t="s">
        <v>74</v>
      </c>
      <c r="BO843" t="s">
        <v>2155</v>
      </c>
      <c r="BP843" t="s">
        <v>74</v>
      </c>
      <c r="BQ843" t="s">
        <v>74</v>
      </c>
      <c r="BR843" t="s">
        <v>100</v>
      </c>
      <c r="BS843" t="s">
        <v>13254</v>
      </c>
      <c r="BT843" t="str">
        <f>HYPERLINK("https%3A%2F%2Fwww.webofscience.com%2Fwos%2Fwoscc%2Ffull-record%2FWOS:000240529700006","View Full Record in Web of Science")</f>
        <v>View Full Record in Web of Science</v>
      </c>
    </row>
    <row r="844" spans="1:72" x14ac:dyDescent="0.15">
      <c r="A844" t="s">
        <v>72</v>
      </c>
      <c r="B844" t="s">
        <v>13255</v>
      </c>
      <c r="C844" t="s">
        <v>74</v>
      </c>
      <c r="D844" t="s">
        <v>74</v>
      </c>
      <c r="E844" t="s">
        <v>74</v>
      </c>
      <c r="F844" t="s">
        <v>13256</v>
      </c>
      <c r="G844" t="s">
        <v>74</v>
      </c>
      <c r="H844" t="s">
        <v>74</v>
      </c>
      <c r="I844" t="s">
        <v>13257</v>
      </c>
      <c r="J844" t="s">
        <v>7547</v>
      </c>
      <c r="K844" t="s">
        <v>74</v>
      </c>
      <c r="L844" t="s">
        <v>74</v>
      </c>
      <c r="M844" t="s">
        <v>78</v>
      </c>
      <c r="N844" t="s">
        <v>79</v>
      </c>
      <c r="O844" t="s">
        <v>74</v>
      </c>
      <c r="P844" t="s">
        <v>74</v>
      </c>
      <c r="Q844" t="s">
        <v>74</v>
      </c>
      <c r="R844" t="s">
        <v>74</v>
      </c>
      <c r="S844" t="s">
        <v>74</v>
      </c>
      <c r="T844" t="s">
        <v>13258</v>
      </c>
      <c r="U844" t="s">
        <v>13259</v>
      </c>
      <c r="V844" t="s">
        <v>13260</v>
      </c>
      <c r="W844" t="s">
        <v>13261</v>
      </c>
      <c r="X844" t="s">
        <v>13262</v>
      </c>
      <c r="Y844" t="s">
        <v>13263</v>
      </c>
      <c r="Z844" t="s">
        <v>13264</v>
      </c>
      <c r="AA844" t="s">
        <v>13265</v>
      </c>
      <c r="AB844" t="s">
        <v>13266</v>
      </c>
      <c r="AC844" t="s">
        <v>74</v>
      </c>
      <c r="AD844" t="s">
        <v>74</v>
      </c>
      <c r="AE844" t="s">
        <v>74</v>
      </c>
      <c r="AF844" t="s">
        <v>74</v>
      </c>
      <c r="AG844">
        <v>77</v>
      </c>
      <c r="AH844">
        <v>95</v>
      </c>
      <c r="AI844">
        <v>99</v>
      </c>
      <c r="AJ844">
        <v>0</v>
      </c>
      <c r="AK844">
        <v>17</v>
      </c>
      <c r="AL844" t="s">
        <v>2829</v>
      </c>
      <c r="AM844" t="s">
        <v>903</v>
      </c>
      <c r="AN844" t="s">
        <v>2830</v>
      </c>
      <c r="AO844" t="s">
        <v>7557</v>
      </c>
      <c r="AP844" t="s">
        <v>7558</v>
      </c>
      <c r="AQ844" t="s">
        <v>74</v>
      </c>
      <c r="AR844" t="s">
        <v>7559</v>
      </c>
      <c r="AS844" t="s">
        <v>7560</v>
      </c>
      <c r="AT844" t="s">
        <v>13267</v>
      </c>
      <c r="AU844">
        <v>2006</v>
      </c>
      <c r="AV844">
        <v>249</v>
      </c>
      <c r="AW844" t="s">
        <v>1283</v>
      </c>
      <c r="AX844" t="s">
        <v>74</v>
      </c>
      <c r="AY844" t="s">
        <v>74</v>
      </c>
      <c r="AZ844" t="s">
        <v>74</v>
      </c>
      <c r="BA844" t="s">
        <v>74</v>
      </c>
      <c r="BB844">
        <v>307</v>
      </c>
      <c r="BC844">
        <v>325</v>
      </c>
      <c r="BD844" t="s">
        <v>74</v>
      </c>
      <c r="BE844" t="s">
        <v>13268</v>
      </c>
      <c r="BF844" t="str">
        <f>HYPERLINK("http://dx.doi.org/10.1016/j.epsl.2006.07.005","http://dx.doi.org/10.1016/j.epsl.2006.07.005")</f>
        <v>http://dx.doi.org/10.1016/j.epsl.2006.07.005</v>
      </c>
      <c r="BG844" t="s">
        <v>74</v>
      </c>
      <c r="BH844" t="s">
        <v>74</v>
      </c>
      <c r="BI844">
        <v>19</v>
      </c>
      <c r="BJ844" t="s">
        <v>865</v>
      </c>
      <c r="BK844" t="s">
        <v>97</v>
      </c>
      <c r="BL844" t="s">
        <v>865</v>
      </c>
      <c r="BM844" t="s">
        <v>13269</v>
      </c>
      <c r="BN844" t="s">
        <v>74</v>
      </c>
      <c r="BO844" t="s">
        <v>74</v>
      </c>
      <c r="BP844" t="s">
        <v>74</v>
      </c>
      <c r="BQ844" t="s">
        <v>74</v>
      </c>
      <c r="BR844" t="s">
        <v>100</v>
      </c>
      <c r="BS844" t="s">
        <v>13270</v>
      </c>
      <c r="BT844" t="str">
        <f>HYPERLINK("https%3A%2F%2Fwww.webofscience.com%2Fwos%2Fwoscc%2Ffull-record%2FWOS:000241962400013","View Full Record in Web of Science")</f>
        <v>View Full Record in Web of Science</v>
      </c>
    </row>
    <row r="845" spans="1:72" x14ac:dyDescent="0.15">
      <c r="A845" t="s">
        <v>72</v>
      </c>
      <c r="B845" t="s">
        <v>13271</v>
      </c>
      <c r="C845" t="s">
        <v>74</v>
      </c>
      <c r="D845" t="s">
        <v>74</v>
      </c>
      <c r="E845" t="s">
        <v>74</v>
      </c>
      <c r="F845" t="s">
        <v>13272</v>
      </c>
      <c r="G845" t="s">
        <v>74</v>
      </c>
      <c r="H845" t="s">
        <v>74</v>
      </c>
      <c r="I845" t="s">
        <v>13273</v>
      </c>
      <c r="J845" t="s">
        <v>7547</v>
      </c>
      <c r="K845" t="s">
        <v>74</v>
      </c>
      <c r="L845" t="s">
        <v>74</v>
      </c>
      <c r="M845" t="s">
        <v>78</v>
      </c>
      <c r="N845" t="s">
        <v>79</v>
      </c>
      <c r="O845" t="s">
        <v>74</v>
      </c>
      <c r="P845" t="s">
        <v>74</v>
      </c>
      <c r="Q845" t="s">
        <v>74</v>
      </c>
      <c r="R845" t="s">
        <v>74</v>
      </c>
      <c r="S845" t="s">
        <v>74</v>
      </c>
      <c r="T845" t="s">
        <v>13274</v>
      </c>
      <c r="U845" t="s">
        <v>13275</v>
      </c>
      <c r="V845" t="s">
        <v>13276</v>
      </c>
      <c r="W845" t="s">
        <v>13277</v>
      </c>
      <c r="X845" t="s">
        <v>13278</v>
      </c>
      <c r="Y845" t="s">
        <v>13279</v>
      </c>
      <c r="Z845" t="s">
        <v>13280</v>
      </c>
      <c r="AA845" t="s">
        <v>13281</v>
      </c>
      <c r="AB845" t="s">
        <v>74</v>
      </c>
      <c r="AC845" t="s">
        <v>74</v>
      </c>
      <c r="AD845" t="s">
        <v>74</v>
      </c>
      <c r="AE845" t="s">
        <v>74</v>
      </c>
      <c r="AF845" t="s">
        <v>74</v>
      </c>
      <c r="AG845">
        <v>31</v>
      </c>
      <c r="AH845">
        <v>2</v>
      </c>
      <c r="AI845">
        <v>2</v>
      </c>
      <c r="AJ845">
        <v>0</v>
      </c>
      <c r="AK845">
        <v>3</v>
      </c>
      <c r="AL845" t="s">
        <v>2829</v>
      </c>
      <c r="AM845" t="s">
        <v>903</v>
      </c>
      <c r="AN845" t="s">
        <v>2830</v>
      </c>
      <c r="AO845" t="s">
        <v>7557</v>
      </c>
      <c r="AP845" t="s">
        <v>7558</v>
      </c>
      <c r="AQ845" t="s">
        <v>74</v>
      </c>
      <c r="AR845" t="s">
        <v>7559</v>
      </c>
      <c r="AS845" t="s">
        <v>7560</v>
      </c>
      <c r="AT845" t="s">
        <v>13267</v>
      </c>
      <c r="AU845">
        <v>2006</v>
      </c>
      <c r="AV845">
        <v>249</v>
      </c>
      <c r="AW845" t="s">
        <v>1283</v>
      </c>
      <c r="AX845" t="s">
        <v>74</v>
      </c>
      <c r="AY845" t="s">
        <v>74</v>
      </c>
      <c r="AZ845" t="s">
        <v>74</v>
      </c>
      <c r="BA845" t="s">
        <v>74</v>
      </c>
      <c r="BB845">
        <v>456</v>
      </c>
      <c r="BC845">
        <v>466</v>
      </c>
      <c r="BD845" t="s">
        <v>74</v>
      </c>
      <c r="BE845" t="s">
        <v>13282</v>
      </c>
      <c r="BF845" t="str">
        <f>HYPERLINK("http://dx.doi.org/10.1016/j.epsl.2006.07.030","http://dx.doi.org/10.1016/j.epsl.2006.07.030")</f>
        <v>http://dx.doi.org/10.1016/j.epsl.2006.07.030</v>
      </c>
      <c r="BG845" t="s">
        <v>74</v>
      </c>
      <c r="BH845" t="s">
        <v>74</v>
      </c>
      <c r="BI845">
        <v>11</v>
      </c>
      <c r="BJ845" t="s">
        <v>865</v>
      </c>
      <c r="BK845" t="s">
        <v>97</v>
      </c>
      <c r="BL845" t="s">
        <v>865</v>
      </c>
      <c r="BM845" t="s">
        <v>13269</v>
      </c>
      <c r="BN845" t="s">
        <v>74</v>
      </c>
      <c r="BO845" t="s">
        <v>74</v>
      </c>
      <c r="BP845" t="s">
        <v>74</v>
      </c>
      <c r="BQ845" t="s">
        <v>74</v>
      </c>
      <c r="BR845" t="s">
        <v>100</v>
      </c>
      <c r="BS845" t="s">
        <v>13283</v>
      </c>
      <c r="BT845" t="str">
        <f>HYPERLINK("https%3A%2F%2Fwww.webofscience.com%2Fwos%2Fwoscc%2Ffull-record%2FWOS:000241962400024","View Full Record in Web of Science")</f>
        <v>View Full Record in Web of Science</v>
      </c>
    </row>
    <row r="846" spans="1:72" x14ac:dyDescent="0.15">
      <c r="A846" t="s">
        <v>72</v>
      </c>
      <c r="B846" t="s">
        <v>13284</v>
      </c>
      <c r="C846" t="s">
        <v>74</v>
      </c>
      <c r="D846" t="s">
        <v>74</v>
      </c>
      <c r="E846" t="s">
        <v>74</v>
      </c>
      <c r="F846" t="s">
        <v>13285</v>
      </c>
      <c r="G846" t="s">
        <v>74</v>
      </c>
      <c r="H846" t="s">
        <v>74</v>
      </c>
      <c r="I846" t="s">
        <v>13286</v>
      </c>
      <c r="J846" t="s">
        <v>7439</v>
      </c>
      <c r="K846" t="s">
        <v>74</v>
      </c>
      <c r="L846" t="s">
        <v>74</v>
      </c>
      <c r="M846" t="s">
        <v>78</v>
      </c>
      <c r="N846" t="s">
        <v>79</v>
      </c>
      <c r="O846" t="s">
        <v>74</v>
      </c>
      <c r="P846" t="s">
        <v>74</v>
      </c>
      <c r="Q846" t="s">
        <v>74</v>
      </c>
      <c r="R846" t="s">
        <v>74</v>
      </c>
      <c r="S846" t="s">
        <v>74</v>
      </c>
      <c r="T846" t="s">
        <v>74</v>
      </c>
      <c r="U846" t="s">
        <v>13287</v>
      </c>
      <c r="V846" t="s">
        <v>13288</v>
      </c>
      <c r="W846" t="s">
        <v>13289</v>
      </c>
      <c r="X846" t="s">
        <v>13290</v>
      </c>
      <c r="Y846" t="s">
        <v>13291</v>
      </c>
      <c r="Z846" t="s">
        <v>8877</v>
      </c>
      <c r="AA846" t="s">
        <v>13292</v>
      </c>
      <c r="AB846" t="s">
        <v>13293</v>
      </c>
      <c r="AC846" t="s">
        <v>74</v>
      </c>
      <c r="AD846" t="s">
        <v>74</v>
      </c>
      <c r="AE846" t="s">
        <v>74</v>
      </c>
      <c r="AF846" t="s">
        <v>74</v>
      </c>
      <c r="AG846">
        <v>71</v>
      </c>
      <c r="AH846">
        <v>48</v>
      </c>
      <c r="AI846">
        <v>51</v>
      </c>
      <c r="AJ846">
        <v>0</v>
      </c>
      <c r="AK846">
        <v>12</v>
      </c>
      <c r="AL846" t="s">
        <v>7239</v>
      </c>
      <c r="AM846" t="s">
        <v>5498</v>
      </c>
      <c r="AN846" t="s">
        <v>7240</v>
      </c>
      <c r="AO846" t="s">
        <v>7448</v>
      </c>
      <c r="AP846" t="s">
        <v>7449</v>
      </c>
      <c r="AQ846" t="s">
        <v>74</v>
      </c>
      <c r="AR846" t="s">
        <v>7450</v>
      </c>
      <c r="AS846" t="s">
        <v>7451</v>
      </c>
      <c r="AT846" t="s">
        <v>13267</v>
      </c>
      <c r="AU846">
        <v>2006</v>
      </c>
      <c r="AV846">
        <v>111</v>
      </c>
      <c r="AW846" t="s">
        <v>13294</v>
      </c>
      <c r="AX846" t="s">
        <v>74</v>
      </c>
      <c r="AY846" t="s">
        <v>74</v>
      </c>
      <c r="AZ846" t="s">
        <v>74</v>
      </c>
      <c r="BA846" t="s">
        <v>74</v>
      </c>
      <c r="BB846" t="s">
        <v>74</v>
      </c>
      <c r="BC846" t="s">
        <v>74</v>
      </c>
      <c r="BD846" t="s">
        <v>13295</v>
      </c>
      <c r="BE846" t="s">
        <v>13296</v>
      </c>
      <c r="BF846" t="str">
        <f>HYPERLINK("http://dx.doi.org/10.1029/2006JD007127","http://dx.doi.org/10.1029/2006JD007127")</f>
        <v>http://dx.doi.org/10.1029/2006JD007127</v>
      </c>
      <c r="BG846" t="s">
        <v>74</v>
      </c>
      <c r="BH846" t="s">
        <v>74</v>
      </c>
      <c r="BI846">
        <v>14</v>
      </c>
      <c r="BJ846" t="s">
        <v>3208</v>
      </c>
      <c r="BK846" t="s">
        <v>97</v>
      </c>
      <c r="BL846" t="s">
        <v>3208</v>
      </c>
      <c r="BM846" t="s">
        <v>13297</v>
      </c>
      <c r="BN846" t="s">
        <v>74</v>
      </c>
      <c r="BO846" t="s">
        <v>74</v>
      </c>
      <c r="BP846" t="s">
        <v>74</v>
      </c>
      <c r="BQ846" t="s">
        <v>74</v>
      </c>
      <c r="BR846" t="s">
        <v>100</v>
      </c>
      <c r="BS846" t="s">
        <v>13298</v>
      </c>
      <c r="BT846" t="str">
        <f>HYPERLINK("https%3A%2F%2Fwww.webofscience.com%2Fwos%2Fwoscc%2Ffull-record%2FWOS:000240945800004","View Full Record in Web of Science")</f>
        <v>View Full Record in Web of Science</v>
      </c>
    </row>
    <row r="847" spans="1:72" x14ac:dyDescent="0.15">
      <c r="A847" t="s">
        <v>72</v>
      </c>
      <c r="B847" t="s">
        <v>13299</v>
      </c>
      <c r="C847" t="s">
        <v>74</v>
      </c>
      <c r="D847" t="s">
        <v>74</v>
      </c>
      <c r="E847" t="s">
        <v>74</v>
      </c>
      <c r="F847" t="s">
        <v>13300</v>
      </c>
      <c r="G847" t="s">
        <v>74</v>
      </c>
      <c r="H847" t="s">
        <v>74</v>
      </c>
      <c r="I847" t="s">
        <v>13301</v>
      </c>
      <c r="J847" t="s">
        <v>13302</v>
      </c>
      <c r="K847" t="s">
        <v>74</v>
      </c>
      <c r="L847" t="s">
        <v>74</v>
      </c>
      <c r="M847" t="s">
        <v>78</v>
      </c>
      <c r="N847" t="s">
        <v>79</v>
      </c>
      <c r="O847" t="s">
        <v>74</v>
      </c>
      <c r="P847" t="s">
        <v>74</v>
      </c>
      <c r="Q847" t="s">
        <v>74</v>
      </c>
      <c r="R847" t="s">
        <v>74</v>
      </c>
      <c r="S847" t="s">
        <v>74</v>
      </c>
      <c r="T847" t="s">
        <v>13303</v>
      </c>
      <c r="U847" t="s">
        <v>13304</v>
      </c>
      <c r="V847" t="s">
        <v>13305</v>
      </c>
      <c r="W847" t="s">
        <v>13306</v>
      </c>
      <c r="X847" t="s">
        <v>13307</v>
      </c>
      <c r="Y847" t="s">
        <v>13308</v>
      </c>
      <c r="Z847" t="s">
        <v>13309</v>
      </c>
      <c r="AA847" t="s">
        <v>74</v>
      </c>
      <c r="AB847" t="s">
        <v>3873</v>
      </c>
      <c r="AC847" t="s">
        <v>13310</v>
      </c>
      <c r="AD847" t="s">
        <v>158</v>
      </c>
      <c r="AE847" t="s">
        <v>74</v>
      </c>
      <c r="AF847" t="s">
        <v>74</v>
      </c>
      <c r="AG847">
        <v>22</v>
      </c>
      <c r="AH847">
        <v>45</v>
      </c>
      <c r="AI847">
        <v>46</v>
      </c>
      <c r="AJ847">
        <v>0</v>
      </c>
      <c r="AK847">
        <v>8</v>
      </c>
      <c r="AL847" t="s">
        <v>902</v>
      </c>
      <c r="AM847" t="s">
        <v>903</v>
      </c>
      <c r="AN847" t="s">
        <v>5098</v>
      </c>
      <c r="AO847" t="s">
        <v>13311</v>
      </c>
      <c r="AP847" t="s">
        <v>13312</v>
      </c>
      <c r="AQ847" t="s">
        <v>74</v>
      </c>
      <c r="AR847" t="s">
        <v>13313</v>
      </c>
      <c r="AS847" t="s">
        <v>13314</v>
      </c>
      <c r="AT847" t="s">
        <v>13267</v>
      </c>
      <c r="AU847">
        <v>2006</v>
      </c>
      <c r="AV847">
        <v>138</v>
      </c>
      <c r="AW847">
        <v>1</v>
      </c>
      <c r="AX847" t="s">
        <v>74</v>
      </c>
      <c r="AY847" t="s">
        <v>74</v>
      </c>
      <c r="AZ847" t="s">
        <v>74</v>
      </c>
      <c r="BA847" t="s">
        <v>74</v>
      </c>
      <c r="BB847">
        <v>22</v>
      </c>
      <c r="BC847">
        <v>32</v>
      </c>
      <c r="BD847" t="s">
        <v>74</v>
      </c>
      <c r="BE847" t="s">
        <v>13315</v>
      </c>
      <c r="BF847" t="str">
        <f>HYPERLINK("http://dx.doi.org/10.1016/j.jnnfm.2006.05.001","http://dx.doi.org/10.1016/j.jnnfm.2006.05.001")</f>
        <v>http://dx.doi.org/10.1016/j.jnnfm.2006.05.001</v>
      </c>
      <c r="BG847" t="s">
        <v>74</v>
      </c>
      <c r="BH847" t="s">
        <v>74</v>
      </c>
      <c r="BI847">
        <v>11</v>
      </c>
      <c r="BJ847" t="s">
        <v>13316</v>
      </c>
      <c r="BK847" t="s">
        <v>97</v>
      </c>
      <c r="BL847" t="s">
        <v>13316</v>
      </c>
      <c r="BM847" t="s">
        <v>13317</v>
      </c>
      <c r="BN847" t="s">
        <v>74</v>
      </c>
      <c r="BO847" t="s">
        <v>74</v>
      </c>
      <c r="BP847" t="s">
        <v>74</v>
      </c>
      <c r="BQ847" t="s">
        <v>74</v>
      </c>
      <c r="BR847" t="s">
        <v>100</v>
      </c>
      <c r="BS847" t="s">
        <v>13318</v>
      </c>
      <c r="BT847" t="str">
        <f>HYPERLINK("https%3A%2F%2Fwww.webofscience.com%2Fwos%2Fwoscc%2Ffull-record%2FWOS:000240846200003","View Full Record in Web of Science")</f>
        <v>View Full Record in Web of Science</v>
      </c>
    </row>
    <row r="848" spans="1:72" x14ac:dyDescent="0.15">
      <c r="A848" t="s">
        <v>72</v>
      </c>
      <c r="B848" t="s">
        <v>13319</v>
      </c>
      <c r="C848" t="s">
        <v>74</v>
      </c>
      <c r="D848" t="s">
        <v>74</v>
      </c>
      <c r="E848" t="s">
        <v>74</v>
      </c>
      <c r="F848" t="s">
        <v>13320</v>
      </c>
      <c r="G848" t="s">
        <v>74</v>
      </c>
      <c r="H848" t="s">
        <v>74</v>
      </c>
      <c r="I848" t="s">
        <v>13321</v>
      </c>
      <c r="J848" t="s">
        <v>9766</v>
      </c>
      <c r="K848" t="s">
        <v>74</v>
      </c>
      <c r="L848" t="s">
        <v>74</v>
      </c>
      <c r="M848" t="s">
        <v>78</v>
      </c>
      <c r="N848" t="s">
        <v>79</v>
      </c>
      <c r="O848" t="s">
        <v>74</v>
      </c>
      <c r="P848" t="s">
        <v>74</v>
      </c>
      <c r="Q848" t="s">
        <v>74</v>
      </c>
      <c r="R848" t="s">
        <v>74</v>
      </c>
      <c r="S848" t="s">
        <v>74</v>
      </c>
      <c r="T848" t="s">
        <v>74</v>
      </c>
      <c r="U848" t="s">
        <v>13322</v>
      </c>
      <c r="V848" t="s">
        <v>13323</v>
      </c>
      <c r="W848" t="s">
        <v>13324</v>
      </c>
      <c r="X848" t="s">
        <v>13325</v>
      </c>
      <c r="Y848" t="s">
        <v>13326</v>
      </c>
      <c r="Z848" t="s">
        <v>13327</v>
      </c>
      <c r="AA848" t="s">
        <v>13328</v>
      </c>
      <c r="AB848" t="s">
        <v>13329</v>
      </c>
      <c r="AC848" t="s">
        <v>74</v>
      </c>
      <c r="AD848" t="s">
        <v>74</v>
      </c>
      <c r="AE848" t="s">
        <v>74</v>
      </c>
      <c r="AF848" t="s">
        <v>74</v>
      </c>
      <c r="AG848">
        <v>52</v>
      </c>
      <c r="AH848">
        <v>16</v>
      </c>
      <c r="AI848">
        <v>19</v>
      </c>
      <c r="AJ848">
        <v>1</v>
      </c>
      <c r="AK848">
        <v>7</v>
      </c>
      <c r="AL848" t="s">
        <v>7239</v>
      </c>
      <c r="AM848" t="s">
        <v>5498</v>
      </c>
      <c r="AN848" t="s">
        <v>7240</v>
      </c>
      <c r="AO848" t="s">
        <v>9775</v>
      </c>
      <c r="AP848" t="s">
        <v>9776</v>
      </c>
      <c r="AQ848" t="s">
        <v>74</v>
      </c>
      <c r="AR848" t="s">
        <v>9777</v>
      </c>
      <c r="AS848" t="s">
        <v>9778</v>
      </c>
      <c r="AT848" t="s">
        <v>13330</v>
      </c>
      <c r="AU848">
        <v>2006</v>
      </c>
      <c r="AV848">
        <v>20</v>
      </c>
      <c r="AW848">
        <v>3</v>
      </c>
      <c r="AX848" t="s">
        <v>74</v>
      </c>
      <c r="AY848" t="s">
        <v>74</v>
      </c>
      <c r="AZ848" t="s">
        <v>74</v>
      </c>
      <c r="BA848" t="s">
        <v>74</v>
      </c>
      <c r="BB848" t="s">
        <v>74</v>
      </c>
      <c r="BC848" t="s">
        <v>74</v>
      </c>
      <c r="BD848" t="s">
        <v>13331</v>
      </c>
      <c r="BE848" t="s">
        <v>13332</v>
      </c>
      <c r="BF848" t="str">
        <f>HYPERLINK("http://dx.doi.org/10.1029/2005GB002650","http://dx.doi.org/10.1029/2005GB002650")</f>
        <v>http://dx.doi.org/10.1029/2005GB002650</v>
      </c>
      <c r="BG848" t="s">
        <v>74</v>
      </c>
      <c r="BH848" t="s">
        <v>74</v>
      </c>
      <c r="BI848">
        <v>9</v>
      </c>
      <c r="BJ848" t="s">
        <v>9781</v>
      </c>
      <c r="BK848" t="s">
        <v>97</v>
      </c>
      <c r="BL848" t="s">
        <v>9782</v>
      </c>
      <c r="BM848" t="s">
        <v>13333</v>
      </c>
      <c r="BN848" t="s">
        <v>74</v>
      </c>
      <c r="BO848" t="s">
        <v>124</v>
      </c>
      <c r="BP848" t="s">
        <v>74</v>
      </c>
      <c r="BQ848" t="s">
        <v>74</v>
      </c>
      <c r="BR848" t="s">
        <v>100</v>
      </c>
      <c r="BS848" t="s">
        <v>13334</v>
      </c>
      <c r="BT848" t="str">
        <f>HYPERLINK("https%3A%2F%2Fwww.webofscience.com%2Fwos%2Fwoscc%2Ffull-record%2FWOS:000240945200002","View Full Record in Web of Science")</f>
        <v>View Full Record in Web of Science</v>
      </c>
    </row>
    <row r="849" spans="1:72" x14ac:dyDescent="0.15">
      <c r="A849" t="s">
        <v>72</v>
      </c>
      <c r="B849" t="s">
        <v>13335</v>
      </c>
      <c r="C849" t="s">
        <v>74</v>
      </c>
      <c r="D849" t="s">
        <v>74</v>
      </c>
      <c r="E849" t="s">
        <v>74</v>
      </c>
      <c r="F849" t="s">
        <v>13336</v>
      </c>
      <c r="G849" t="s">
        <v>74</v>
      </c>
      <c r="H849" t="s">
        <v>74</v>
      </c>
      <c r="I849" t="s">
        <v>13337</v>
      </c>
      <c r="J849" t="s">
        <v>7439</v>
      </c>
      <c r="K849" t="s">
        <v>74</v>
      </c>
      <c r="L849" t="s">
        <v>74</v>
      </c>
      <c r="M849" t="s">
        <v>78</v>
      </c>
      <c r="N849" t="s">
        <v>79</v>
      </c>
      <c r="O849" t="s">
        <v>74</v>
      </c>
      <c r="P849" t="s">
        <v>74</v>
      </c>
      <c r="Q849" t="s">
        <v>74</v>
      </c>
      <c r="R849" t="s">
        <v>74</v>
      </c>
      <c r="S849" t="s">
        <v>74</v>
      </c>
      <c r="T849" t="s">
        <v>74</v>
      </c>
      <c r="U849" t="s">
        <v>13338</v>
      </c>
      <c r="V849" t="s">
        <v>13339</v>
      </c>
      <c r="W849" t="s">
        <v>13340</v>
      </c>
      <c r="X849" t="s">
        <v>13341</v>
      </c>
      <c r="Y849" t="s">
        <v>13342</v>
      </c>
      <c r="Z849" t="s">
        <v>13343</v>
      </c>
      <c r="AA849" t="s">
        <v>13344</v>
      </c>
      <c r="AB849" t="s">
        <v>13345</v>
      </c>
      <c r="AC849" t="s">
        <v>74</v>
      </c>
      <c r="AD849" t="s">
        <v>74</v>
      </c>
      <c r="AE849" t="s">
        <v>74</v>
      </c>
      <c r="AF849" t="s">
        <v>74</v>
      </c>
      <c r="AG849">
        <v>23</v>
      </c>
      <c r="AH849">
        <v>118</v>
      </c>
      <c r="AI849">
        <v>128</v>
      </c>
      <c r="AJ849">
        <v>0</v>
      </c>
      <c r="AK849">
        <v>33</v>
      </c>
      <c r="AL849" t="s">
        <v>7239</v>
      </c>
      <c r="AM849" t="s">
        <v>5498</v>
      </c>
      <c r="AN849" t="s">
        <v>7240</v>
      </c>
      <c r="AO849" t="s">
        <v>7448</v>
      </c>
      <c r="AP849" t="s">
        <v>7449</v>
      </c>
      <c r="AQ849" t="s">
        <v>74</v>
      </c>
      <c r="AR849" t="s">
        <v>7450</v>
      </c>
      <c r="AS849" t="s">
        <v>7451</v>
      </c>
      <c r="AT849" t="s">
        <v>13346</v>
      </c>
      <c r="AU849">
        <v>2006</v>
      </c>
      <c r="AV849">
        <v>111</v>
      </c>
      <c r="AW849" t="s">
        <v>13294</v>
      </c>
      <c r="AX849" t="s">
        <v>74</v>
      </c>
      <c r="AY849" t="s">
        <v>74</v>
      </c>
      <c r="AZ849" t="s">
        <v>74</v>
      </c>
      <c r="BA849" t="s">
        <v>74</v>
      </c>
      <c r="BB849" t="s">
        <v>74</v>
      </c>
      <c r="BC849" t="s">
        <v>74</v>
      </c>
      <c r="BD849" t="s">
        <v>13347</v>
      </c>
      <c r="BE849" t="s">
        <v>13348</v>
      </c>
      <c r="BF849" t="str">
        <f>HYPERLINK("http://dx.doi.org/10.1029/2006JD007290","http://dx.doi.org/10.1029/2006JD007290")</f>
        <v>http://dx.doi.org/10.1029/2006JD007290</v>
      </c>
      <c r="BG849" t="s">
        <v>74</v>
      </c>
      <c r="BH849" t="s">
        <v>74</v>
      </c>
      <c r="BI849">
        <v>19</v>
      </c>
      <c r="BJ849" t="s">
        <v>3208</v>
      </c>
      <c r="BK849" t="s">
        <v>97</v>
      </c>
      <c r="BL849" t="s">
        <v>3208</v>
      </c>
      <c r="BM849" t="s">
        <v>13349</v>
      </c>
      <c r="BN849" t="s">
        <v>74</v>
      </c>
      <c r="BO849" t="s">
        <v>1314</v>
      </c>
      <c r="BP849" t="s">
        <v>74</v>
      </c>
      <c r="BQ849" t="s">
        <v>74</v>
      </c>
      <c r="BR849" t="s">
        <v>100</v>
      </c>
      <c r="BS849" t="s">
        <v>13350</v>
      </c>
      <c r="BT849" t="str">
        <f>HYPERLINK("https%3A%2F%2Fwww.webofscience.com%2Fwos%2Fwoscc%2Ffull-record%2FWOS:000240945600005","View Full Record in Web of Science")</f>
        <v>View Full Record in Web of Science</v>
      </c>
    </row>
    <row r="850" spans="1:72" x14ac:dyDescent="0.15">
      <c r="A850" t="s">
        <v>72</v>
      </c>
      <c r="B850" t="s">
        <v>13351</v>
      </c>
      <c r="C850" t="s">
        <v>74</v>
      </c>
      <c r="D850" t="s">
        <v>74</v>
      </c>
      <c r="E850" t="s">
        <v>74</v>
      </c>
      <c r="F850" t="s">
        <v>13352</v>
      </c>
      <c r="G850" t="s">
        <v>74</v>
      </c>
      <c r="H850" t="s">
        <v>74</v>
      </c>
      <c r="I850" t="s">
        <v>13353</v>
      </c>
      <c r="J850" t="s">
        <v>13354</v>
      </c>
      <c r="K850" t="s">
        <v>74</v>
      </c>
      <c r="L850" t="s">
        <v>74</v>
      </c>
      <c r="M850" t="s">
        <v>78</v>
      </c>
      <c r="N850" t="s">
        <v>79</v>
      </c>
      <c r="O850" t="s">
        <v>74</v>
      </c>
      <c r="P850" t="s">
        <v>74</v>
      </c>
      <c r="Q850" t="s">
        <v>74</v>
      </c>
      <c r="R850" t="s">
        <v>74</v>
      </c>
      <c r="S850" t="s">
        <v>74</v>
      </c>
      <c r="T850" t="s">
        <v>74</v>
      </c>
      <c r="U850" t="s">
        <v>13355</v>
      </c>
      <c r="V850" t="s">
        <v>13356</v>
      </c>
      <c r="W850" t="s">
        <v>13357</v>
      </c>
      <c r="X850" t="s">
        <v>13358</v>
      </c>
      <c r="Y850" t="s">
        <v>13359</v>
      </c>
      <c r="Z850" t="s">
        <v>13360</v>
      </c>
      <c r="AA850" t="s">
        <v>6874</v>
      </c>
      <c r="AB850" t="s">
        <v>6875</v>
      </c>
      <c r="AC850" t="s">
        <v>13361</v>
      </c>
      <c r="AD850" t="s">
        <v>1254</v>
      </c>
      <c r="AE850" t="s">
        <v>74</v>
      </c>
      <c r="AF850" t="s">
        <v>74</v>
      </c>
      <c r="AG850">
        <v>39</v>
      </c>
      <c r="AH850">
        <v>50</v>
      </c>
      <c r="AI850">
        <v>53</v>
      </c>
      <c r="AJ850">
        <v>0</v>
      </c>
      <c r="AK850">
        <v>4</v>
      </c>
      <c r="AL850" t="s">
        <v>7239</v>
      </c>
      <c r="AM850" t="s">
        <v>5498</v>
      </c>
      <c r="AN850" t="s">
        <v>7240</v>
      </c>
      <c r="AO850" t="s">
        <v>74</v>
      </c>
      <c r="AP850" t="s">
        <v>13362</v>
      </c>
      <c r="AQ850" t="s">
        <v>74</v>
      </c>
      <c r="AR850" t="s">
        <v>13363</v>
      </c>
      <c r="AS850" t="s">
        <v>13364</v>
      </c>
      <c r="AT850" t="s">
        <v>13346</v>
      </c>
      <c r="AU850">
        <v>2006</v>
      </c>
      <c r="AV850">
        <v>4</v>
      </c>
      <c r="AW850">
        <v>9</v>
      </c>
      <c r="AX850" t="s">
        <v>74</v>
      </c>
      <c r="AY850" t="s">
        <v>74</v>
      </c>
      <c r="AZ850" t="s">
        <v>74</v>
      </c>
      <c r="BA850" t="s">
        <v>74</v>
      </c>
      <c r="BB850" t="s">
        <v>74</v>
      </c>
      <c r="BC850" t="s">
        <v>74</v>
      </c>
      <c r="BD850" t="s">
        <v>13365</v>
      </c>
      <c r="BE850" t="s">
        <v>13366</v>
      </c>
      <c r="BF850" t="str">
        <f>HYPERLINK("http://dx.doi.org/10.1029/2005SW000207","http://dx.doi.org/10.1029/2005SW000207")</f>
        <v>http://dx.doi.org/10.1029/2005SW000207</v>
      </c>
      <c r="BG850" t="s">
        <v>74</v>
      </c>
      <c r="BH850" t="s">
        <v>74</v>
      </c>
      <c r="BI850">
        <v>7</v>
      </c>
      <c r="BJ850" t="s">
        <v>13367</v>
      </c>
      <c r="BK850" t="s">
        <v>97</v>
      </c>
      <c r="BL850" t="s">
        <v>13367</v>
      </c>
      <c r="BM850" t="s">
        <v>13368</v>
      </c>
      <c r="BN850" t="s">
        <v>74</v>
      </c>
      <c r="BO850" t="s">
        <v>4658</v>
      </c>
      <c r="BP850" t="s">
        <v>74</v>
      </c>
      <c r="BQ850" t="s">
        <v>74</v>
      </c>
      <c r="BR850" t="s">
        <v>100</v>
      </c>
      <c r="BS850" t="s">
        <v>13369</v>
      </c>
      <c r="BT850" t="str">
        <f>HYPERLINK("https%3A%2F%2Fwww.webofscience.com%2Fwos%2Fwoscc%2Ffull-record%2FWOS:000241204300001","View Full Record in Web of Science")</f>
        <v>View Full Record in Web of Science</v>
      </c>
    </row>
    <row r="851" spans="1:72" x14ac:dyDescent="0.15">
      <c r="A851" t="s">
        <v>72</v>
      </c>
      <c r="B851" t="s">
        <v>13370</v>
      </c>
      <c r="C851" t="s">
        <v>74</v>
      </c>
      <c r="D851" t="s">
        <v>74</v>
      </c>
      <c r="E851" t="s">
        <v>74</v>
      </c>
      <c r="F851" t="s">
        <v>13371</v>
      </c>
      <c r="G851" t="s">
        <v>74</v>
      </c>
      <c r="H851" t="s">
        <v>74</v>
      </c>
      <c r="I851" t="s">
        <v>13372</v>
      </c>
      <c r="J851" t="s">
        <v>7251</v>
      </c>
      <c r="K851" t="s">
        <v>74</v>
      </c>
      <c r="L851" t="s">
        <v>74</v>
      </c>
      <c r="M851" t="s">
        <v>78</v>
      </c>
      <c r="N851" t="s">
        <v>79</v>
      </c>
      <c r="O851" t="s">
        <v>74</v>
      </c>
      <c r="P851" t="s">
        <v>74</v>
      </c>
      <c r="Q851" t="s">
        <v>74</v>
      </c>
      <c r="R851" t="s">
        <v>74</v>
      </c>
      <c r="S851" t="s">
        <v>74</v>
      </c>
      <c r="T851" t="s">
        <v>74</v>
      </c>
      <c r="U851" t="s">
        <v>13373</v>
      </c>
      <c r="V851" t="s">
        <v>13374</v>
      </c>
      <c r="W851" t="s">
        <v>13375</v>
      </c>
      <c r="X851" t="s">
        <v>13376</v>
      </c>
      <c r="Y851" t="s">
        <v>13377</v>
      </c>
      <c r="Z851" t="s">
        <v>13378</v>
      </c>
      <c r="AA851" t="s">
        <v>13379</v>
      </c>
      <c r="AB851" t="s">
        <v>13380</v>
      </c>
      <c r="AC851" t="s">
        <v>74</v>
      </c>
      <c r="AD851" t="s">
        <v>74</v>
      </c>
      <c r="AE851" t="s">
        <v>74</v>
      </c>
      <c r="AF851" t="s">
        <v>74</v>
      </c>
      <c r="AG851">
        <v>21</v>
      </c>
      <c r="AH851">
        <v>130</v>
      </c>
      <c r="AI851">
        <v>142</v>
      </c>
      <c r="AJ851">
        <v>0</v>
      </c>
      <c r="AK851">
        <v>10</v>
      </c>
      <c r="AL851" t="s">
        <v>7239</v>
      </c>
      <c r="AM851" t="s">
        <v>5498</v>
      </c>
      <c r="AN851" t="s">
        <v>7240</v>
      </c>
      <c r="AO851" t="s">
        <v>7257</v>
      </c>
      <c r="AP851" t="s">
        <v>7394</v>
      </c>
      <c r="AQ851" t="s">
        <v>74</v>
      </c>
      <c r="AR851" t="s">
        <v>7258</v>
      </c>
      <c r="AS851" t="s">
        <v>7259</v>
      </c>
      <c r="AT851" t="s">
        <v>13381</v>
      </c>
      <c r="AU851">
        <v>2006</v>
      </c>
      <c r="AV851">
        <v>33</v>
      </c>
      <c r="AW851">
        <v>18</v>
      </c>
      <c r="AX851" t="s">
        <v>74</v>
      </c>
      <c r="AY851" t="s">
        <v>74</v>
      </c>
      <c r="AZ851" t="s">
        <v>74</v>
      </c>
      <c r="BA851" t="s">
        <v>74</v>
      </c>
      <c r="BB851" t="s">
        <v>74</v>
      </c>
      <c r="BC851" t="s">
        <v>74</v>
      </c>
      <c r="BD851" t="s">
        <v>13382</v>
      </c>
      <c r="BE851" t="s">
        <v>13383</v>
      </c>
      <c r="BF851" t="str">
        <f>HYPERLINK("http://dx.doi.org/10.1029/2006GL027160","http://dx.doi.org/10.1029/2006GL027160")</f>
        <v>http://dx.doi.org/10.1029/2006GL027160</v>
      </c>
      <c r="BG851" t="s">
        <v>74</v>
      </c>
      <c r="BH851" t="s">
        <v>74</v>
      </c>
      <c r="BI851">
        <v>5</v>
      </c>
      <c r="BJ851" t="s">
        <v>685</v>
      </c>
      <c r="BK851" t="s">
        <v>97</v>
      </c>
      <c r="BL851" t="s">
        <v>642</v>
      </c>
      <c r="BM851" t="s">
        <v>13384</v>
      </c>
      <c r="BN851" t="s">
        <v>74</v>
      </c>
      <c r="BO851" t="s">
        <v>7472</v>
      </c>
      <c r="BP851" t="s">
        <v>74</v>
      </c>
      <c r="BQ851" t="s">
        <v>74</v>
      </c>
      <c r="BR851" t="s">
        <v>100</v>
      </c>
      <c r="BS851" t="s">
        <v>13385</v>
      </c>
      <c r="BT851" t="str">
        <f>HYPERLINK("https%3A%2F%2Fwww.webofscience.com%2Fwos%2Fwoscc%2Ffull-record%2FWOS:000240943500004","View Full Record in Web of Science")</f>
        <v>View Full Record in Web of Science</v>
      </c>
    </row>
    <row r="852" spans="1:72" x14ac:dyDescent="0.15">
      <c r="A852" t="s">
        <v>72</v>
      </c>
      <c r="B852" t="s">
        <v>13386</v>
      </c>
      <c r="C852" t="s">
        <v>74</v>
      </c>
      <c r="D852" t="s">
        <v>74</v>
      </c>
      <c r="E852" t="s">
        <v>74</v>
      </c>
      <c r="F852" t="s">
        <v>13387</v>
      </c>
      <c r="G852" t="s">
        <v>74</v>
      </c>
      <c r="H852" t="s">
        <v>74</v>
      </c>
      <c r="I852" t="s">
        <v>13388</v>
      </c>
      <c r="J852" t="s">
        <v>7439</v>
      </c>
      <c r="K852" t="s">
        <v>74</v>
      </c>
      <c r="L852" t="s">
        <v>74</v>
      </c>
      <c r="M852" t="s">
        <v>78</v>
      </c>
      <c r="N852" t="s">
        <v>79</v>
      </c>
      <c r="O852" t="s">
        <v>74</v>
      </c>
      <c r="P852" t="s">
        <v>74</v>
      </c>
      <c r="Q852" t="s">
        <v>74</v>
      </c>
      <c r="R852" t="s">
        <v>74</v>
      </c>
      <c r="S852" t="s">
        <v>74</v>
      </c>
      <c r="T852" t="s">
        <v>74</v>
      </c>
      <c r="U852" t="s">
        <v>13389</v>
      </c>
      <c r="V852" t="s">
        <v>13390</v>
      </c>
      <c r="W852" t="s">
        <v>13391</v>
      </c>
      <c r="X852" t="s">
        <v>13392</v>
      </c>
      <c r="Y852" t="s">
        <v>13393</v>
      </c>
      <c r="Z852" t="s">
        <v>13394</v>
      </c>
      <c r="AA852" t="s">
        <v>74</v>
      </c>
      <c r="AB852" t="s">
        <v>74</v>
      </c>
      <c r="AC852" t="s">
        <v>74</v>
      </c>
      <c r="AD852" t="s">
        <v>74</v>
      </c>
      <c r="AE852" t="s">
        <v>74</v>
      </c>
      <c r="AF852" t="s">
        <v>74</v>
      </c>
      <c r="AG852">
        <v>29</v>
      </c>
      <c r="AH852">
        <v>8</v>
      </c>
      <c r="AI852">
        <v>9</v>
      </c>
      <c r="AJ852">
        <v>0</v>
      </c>
      <c r="AK852">
        <v>7</v>
      </c>
      <c r="AL852" t="s">
        <v>7239</v>
      </c>
      <c r="AM852" t="s">
        <v>5498</v>
      </c>
      <c r="AN852" t="s">
        <v>7240</v>
      </c>
      <c r="AO852" t="s">
        <v>7448</v>
      </c>
      <c r="AP852" t="s">
        <v>7449</v>
      </c>
      <c r="AQ852" t="s">
        <v>74</v>
      </c>
      <c r="AR852" t="s">
        <v>7450</v>
      </c>
      <c r="AS852" t="s">
        <v>7451</v>
      </c>
      <c r="AT852" t="s">
        <v>13395</v>
      </c>
      <c r="AU852">
        <v>2006</v>
      </c>
      <c r="AV852">
        <v>111</v>
      </c>
      <c r="AW852" t="s">
        <v>13294</v>
      </c>
      <c r="AX852" t="s">
        <v>74</v>
      </c>
      <c r="AY852" t="s">
        <v>74</v>
      </c>
      <c r="AZ852" t="s">
        <v>74</v>
      </c>
      <c r="BA852" t="s">
        <v>74</v>
      </c>
      <c r="BB852" t="s">
        <v>74</v>
      </c>
      <c r="BC852" t="s">
        <v>74</v>
      </c>
      <c r="BD852" t="s">
        <v>13396</v>
      </c>
      <c r="BE852" t="s">
        <v>13397</v>
      </c>
      <c r="BF852" t="str">
        <f>HYPERLINK("http://dx.doi.org/10.1029/2005JD006948","http://dx.doi.org/10.1029/2005JD006948")</f>
        <v>http://dx.doi.org/10.1029/2005JD006948</v>
      </c>
      <c r="BG852" t="s">
        <v>74</v>
      </c>
      <c r="BH852" t="s">
        <v>74</v>
      </c>
      <c r="BI852">
        <v>12</v>
      </c>
      <c r="BJ852" t="s">
        <v>3208</v>
      </c>
      <c r="BK852" t="s">
        <v>97</v>
      </c>
      <c r="BL852" t="s">
        <v>3208</v>
      </c>
      <c r="BM852" t="s">
        <v>13398</v>
      </c>
      <c r="BN852" t="s">
        <v>74</v>
      </c>
      <c r="BO852" t="s">
        <v>124</v>
      </c>
      <c r="BP852" t="s">
        <v>74</v>
      </c>
      <c r="BQ852" t="s">
        <v>74</v>
      </c>
      <c r="BR852" t="s">
        <v>100</v>
      </c>
      <c r="BS852" t="s">
        <v>13399</v>
      </c>
      <c r="BT852" t="str">
        <f>HYPERLINK("https%3A%2F%2Fwww.webofscience.com%2Fwos%2Fwoscc%2Ffull-record%2FWOS:000240945300005","View Full Record in Web of Science")</f>
        <v>View Full Record in Web of Science</v>
      </c>
    </row>
    <row r="853" spans="1:72" x14ac:dyDescent="0.15">
      <c r="A853" t="s">
        <v>72</v>
      </c>
      <c r="B853" t="s">
        <v>13400</v>
      </c>
      <c r="C853" t="s">
        <v>74</v>
      </c>
      <c r="D853" t="s">
        <v>74</v>
      </c>
      <c r="E853" t="s">
        <v>74</v>
      </c>
      <c r="F853" t="s">
        <v>13401</v>
      </c>
      <c r="G853" t="s">
        <v>74</v>
      </c>
      <c r="H853" t="s">
        <v>74</v>
      </c>
      <c r="I853" t="s">
        <v>13402</v>
      </c>
      <c r="J853" t="s">
        <v>7439</v>
      </c>
      <c r="K853" t="s">
        <v>74</v>
      </c>
      <c r="L853" t="s">
        <v>74</v>
      </c>
      <c r="M853" t="s">
        <v>78</v>
      </c>
      <c r="N853" t="s">
        <v>79</v>
      </c>
      <c r="O853" t="s">
        <v>74</v>
      </c>
      <c r="P853" t="s">
        <v>74</v>
      </c>
      <c r="Q853" t="s">
        <v>74</v>
      </c>
      <c r="R853" t="s">
        <v>74</v>
      </c>
      <c r="S853" t="s">
        <v>74</v>
      </c>
      <c r="T853" t="s">
        <v>74</v>
      </c>
      <c r="U853" t="s">
        <v>13403</v>
      </c>
      <c r="V853" t="s">
        <v>13404</v>
      </c>
      <c r="W853" t="s">
        <v>13405</v>
      </c>
      <c r="X853" t="s">
        <v>13406</v>
      </c>
      <c r="Y853" t="s">
        <v>13407</v>
      </c>
      <c r="Z853" t="s">
        <v>13408</v>
      </c>
      <c r="AA853" t="s">
        <v>13409</v>
      </c>
      <c r="AB853" t="s">
        <v>13410</v>
      </c>
      <c r="AC853" t="s">
        <v>74</v>
      </c>
      <c r="AD853" t="s">
        <v>74</v>
      </c>
      <c r="AE853" t="s">
        <v>74</v>
      </c>
      <c r="AF853" t="s">
        <v>74</v>
      </c>
      <c r="AG853">
        <v>29</v>
      </c>
      <c r="AH853">
        <v>49</v>
      </c>
      <c r="AI853">
        <v>52</v>
      </c>
      <c r="AJ853">
        <v>0</v>
      </c>
      <c r="AK853">
        <v>10</v>
      </c>
      <c r="AL853" t="s">
        <v>7239</v>
      </c>
      <c r="AM853" t="s">
        <v>5498</v>
      </c>
      <c r="AN853" t="s">
        <v>7240</v>
      </c>
      <c r="AO853" t="s">
        <v>7448</v>
      </c>
      <c r="AP853" t="s">
        <v>7449</v>
      </c>
      <c r="AQ853" t="s">
        <v>74</v>
      </c>
      <c r="AR853" t="s">
        <v>7450</v>
      </c>
      <c r="AS853" t="s">
        <v>7451</v>
      </c>
      <c r="AT853" t="s">
        <v>13395</v>
      </c>
      <c r="AU853">
        <v>2006</v>
      </c>
      <c r="AV853">
        <v>111</v>
      </c>
      <c r="AW853" t="s">
        <v>13294</v>
      </c>
      <c r="AX853" t="s">
        <v>74</v>
      </c>
      <c r="AY853" t="s">
        <v>74</v>
      </c>
      <c r="AZ853" t="s">
        <v>74</v>
      </c>
      <c r="BA853" t="s">
        <v>74</v>
      </c>
      <c r="BB853" t="s">
        <v>74</v>
      </c>
      <c r="BC853" t="s">
        <v>74</v>
      </c>
      <c r="BD853" t="s">
        <v>13411</v>
      </c>
      <c r="BE853" t="s">
        <v>13412</v>
      </c>
      <c r="BF853" t="str">
        <f>HYPERLINK("http://dx.doi.org/10.1029/2005JD006851","http://dx.doi.org/10.1029/2005JD006851")</f>
        <v>http://dx.doi.org/10.1029/2005JD006851</v>
      </c>
      <c r="BG853" t="s">
        <v>74</v>
      </c>
      <c r="BH853" t="s">
        <v>74</v>
      </c>
      <c r="BI853">
        <v>10</v>
      </c>
      <c r="BJ853" t="s">
        <v>3208</v>
      </c>
      <c r="BK853" t="s">
        <v>97</v>
      </c>
      <c r="BL853" t="s">
        <v>3208</v>
      </c>
      <c r="BM853" t="s">
        <v>13398</v>
      </c>
      <c r="BN853" t="s">
        <v>74</v>
      </c>
      <c r="BO853" t="s">
        <v>124</v>
      </c>
      <c r="BP853" t="s">
        <v>74</v>
      </c>
      <c r="BQ853" t="s">
        <v>74</v>
      </c>
      <c r="BR853" t="s">
        <v>100</v>
      </c>
      <c r="BS853" t="s">
        <v>13413</v>
      </c>
      <c r="BT853" t="str">
        <f>HYPERLINK("https%3A%2F%2Fwww.webofscience.com%2Fwos%2Fwoscc%2Ffull-record%2FWOS:000240945300004","View Full Record in Web of Science")</f>
        <v>View Full Record in Web of Science</v>
      </c>
    </row>
    <row r="854" spans="1:72" x14ac:dyDescent="0.15">
      <c r="A854" t="s">
        <v>72</v>
      </c>
      <c r="B854" t="s">
        <v>13414</v>
      </c>
      <c r="C854" t="s">
        <v>74</v>
      </c>
      <c r="D854" t="s">
        <v>74</v>
      </c>
      <c r="E854" t="s">
        <v>74</v>
      </c>
      <c r="F854" t="s">
        <v>13415</v>
      </c>
      <c r="G854" t="s">
        <v>74</v>
      </c>
      <c r="H854" t="s">
        <v>74</v>
      </c>
      <c r="I854" t="s">
        <v>13416</v>
      </c>
      <c r="J854" t="s">
        <v>8993</v>
      </c>
      <c r="K854" t="s">
        <v>74</v>
      </c>
      <c r="L854" t="s">
        <v>74</v>
      </c>
      <c r="M854" t="s">
        <v>78</v>
      </c>
      <c r="N854" t="s">
        <v>79</v>
      </c>
      <c r="O854" t="s">
        <v>74</v>
      </c>
      <c r="P854" t="s">
        <v>74</v>
      </c>
      <c r="Q854" t="s">
        <v>74</v>
      </c>
      <c r="R854" t="s">
        <v>74</v>
      </c>
      <c r="S854" t="s">
        <v>74</v>
      </c>
      <c r="T854" t="s">
        <v>74</v>
      </c>
      <c r="U854" t="s">
        <v>13417</v>
      </c>
      <c r="V854" t="s">
        <v>13418</v>
      </c>
      <c r="W854" t="s">
        <v>13419</v>
      </c>
      <c r="X854" t="s">
        <v>13420</v>
      </c>
      <c r="Y854" t="s">
        <v>13421</v>
      </c>
      <c r="Z854" t="s">
        <v>13422</v>
      </c>
      <c r="AA854" t="s">
        <v>13423</v>
      </c>
      <c r="AB854" t="s">
        <v>13424</v>
      </c>
      <c r="AC854" t="s">
        <v>11735</v>
      </c>
      <c r="AD854" t="s">
        <v>158</v>
      </c>
      <c r="AE854" t="s">
        <v>74</v>
      </c>
      <c r="AF854" t="s">
        <v>74</v>
      </c>
      <c r="AG854">
        <v>58</v>
      </c>
      <c r="AH854">
        <v>117</v>
      </c>
      <c r="AI854">
        <v>124</v>
      </c>
      <c r="AJ854">
        <v>0</v>
      </c>
      <c r="AK854">
        <v>7</v>
      </c>
      <c r="AL854" t="s">
        <v>7239</v>
      </c>
      <c r="AM854" t="s">
        <v>5498</v>
      </c>
      <c r="AN854" t="s">
        <v>7240</v>
      </c>
      <c r="AO854" t="s">
        <v>9003</v>
      </c>
      <c r="AP854" t="s">
        <v>9004</v>
      </c>
      <c r="AQ854" t="s">
        <v>74</v>
      </c>
      <c r="AR854" t="s">
        <v>9005</v>
      </c>
      <c r="AS854" t="s">
        <v>9006</v>
      </c>
      <c r="AT854" t="s">
        <v>13395</v>
      </c>
      <c r="AU854">
        <v>2006</v>
      </c>
      <c r="AV854">
        <v>111</v>
      </c>
      <c r="AW854" t="s">
        <v>13425</v>
      </c>
      <c r="AX854" t="s">
        <v>74</v>
      </c>
      <c r="AY854" t="s">
        <v>74</v>
      </c>
      <c r="AZ854" t="s">
        <v>74</v>
      </c>
      <c r="BA854" t="s">
        <v>74</v>
      </c>
      <c r="BB854" t="s">
        <v>74</v>
      </c>
      <c r="BC854" t="s">
        <v>74</v>
      </c>
      <c r="BD854" t="s">
        <v>13426</v>
      </c>
      <c r="BE854" t="s">
        <v>13427</v>
      </c>
      <c r="BF854" t="str">
        <f>HYPERLINK("http://dx.doi.org/10.1029/2006JA011707","http://dx.doi.org/10.1029/2006JA011707")</f>
        <v>http://dx.doi.org/10.1029/2006JA011707</v>
      </c>
      <c r="BG854" t="s">
        <v>74</v>
      </c>
      <c r="BH854" t="s">
        <v>74</v>
      </c>
      <c r="BI854">
        <v>12</v>
      </c>
      <c r="BJ854" t="s">
        <v>801</v>
      </c>
      <c r="BK854" t="s">
        <v>97</v>
      </c>
      <c r="BL854" t="s">
        <v>801</v>
      </c>
      <c r="BM854" t="s">
        <v>13428</v>
      </c>
      <c r="BN854" t="s">
        <v>74</v>
      </c>
      <c r="BO854" t="s">
        <v>124</v>
      </c>
      <c r="BP854" t="s">
        <v>74</v>
      </c>
      <c r="BQ854" t="s">
        <v>74</v>
      </c>
      <c r="BR854" t="s">
        <v>100</v>
      </c>
      <c r="BS854" t="s">
        <v>13429</v>
      </c>
      <c r="BT854" t="str">
        <f>HYPERLINK("https%3A%2F%2Fwww.webofscience.com%2Fwos%2Fwoscc%2Ffull-record%2FWOS:000240949200003","View Full Record in Web of Science")</f>
        <v>View Full Record in Web of Science</v>
      </c>
    </row>
    <row r="855" spans="1:72" x14ac:dyDescent="0.15">
      <c r="A855" t="s">
        <v>72</v>
      </c>
      <c r="B855" t="s">
        <v>13430</v>
      </c>
      <c r="C855" t="s">
        <v>74</v>
      </c>
      <c r="D855" t="s">
        <v>74</v>
      </c>
      <c r="E855" t="s">
        <v>74</v>
      </c>
      <c r="F855" t="s">
        <v>13431</v>
      </c>
      <c r="G855" t="s">
        <v>74</v>
      </c>
      <c r="H855" t="s">
        <v>74</v>
      </c>
      <c r="I855" t="s">
        <v>13432</v>
      </c>
      <c r="J855" t="s">
        <v>7251</v>
      </c>
      <c r="K855" t="s">
        <v>74</v>
      </c>
      <c r="L855" t="s">
        <v>74</v>
      </c>
      <c r="M855" t="s">
        <v>78</v>
      </c>
      <c r="N855" t="s">
        <v>79</v>
      </c>
      <c r="O855" t="s">
        <v>74</v>
      </c>
      <c r="P855" t="s">
        <v>74</v>
      </c>
      <c r="Q855" t="s">
        <v>74</v>
      </c>
      <c r="R855" t="s">
        <v>74</v>
      </c>
      <c r="S855" t="s">
        <v>74</v>
      </c>
      <c r="T855" t="s">
        <v>74</v>
      </c>
      <c r="U855" t="s">
        <v>13433</v>
      </c>
      <c r="V855" t="s">
        <v>13434</v>
      </c>
      <c r="W855" t="s">
        <v>13435</v>
      </c>
      <c r="X855" t="s">
        <v>13436</v>
      </c>
      <c r="Y855" t="s">
        <v>13437</v>
      </c>
      <c r="Z855" t="s">
        <v>13438</v>
      </c>
      <c r="AA855" t="s">
        <v>13439</v>
      </c>
      <c r="AB855" t="s">
        <v>13440</v>
      </c>
      <c r="AC855" t="s">
        <v>74</v>
      </c>
      <c r="AD855" t="s">
        <v>74</v>
      </c>
      <c r="AE855" t="s">
        <v>74</v>
      </c>
      <c r="AF855" t="s">
        <v>74</v>
      </c>
      <c r="AG855">
        <v>37</v>
      </c>
      <c r="AH855">
        <v>53</v>
      </c>
      <c r="AI855">
        <v>61</v>
      </c>
      <c r="AJ855">
        <v>0</v>
      </c>
      <c r="AK855">
        <v>18</v>
      </c>
      <c r="AL855" t="s">
        <v>7239</v>
      </c>
      <c r="AM855" t="s">
        <v>5498</v>
      </c>
      <c r="AN855" t="s">
        <v>7240</v>
      </c>
      <c r="AO855" t="s">
        <v>7257</v>
      </c>
      <c r="AP855" t="s">
        <v>7394</v>
      </c>
      <c r="AQ855" t="s">
        <v>74</v>
      </c>
      <c r="AR855" t="s">
        <v>7258</v>
      </c>
      <c r="AS855" t="s">
        <v>7259</v>
      </c>
      <c r="AT855" t="s">
        <v>13441</v>
      </c>
      <c r="AU855">
        <v>2006</v>
      </c>
      <c r="AV855">
        <v>33</v>
      </c>
      <c r="AW855">
        <v>18</v>
      </c>
      <c r="AX855" t="s">
        <v>74</v>
      </c>
      <c r="AY855" t="s">
        <v>74</v>
      </c>
      <c r="AZ855" t="s">
        <v>74</v>
      </c>
      <c r="BA855" t="s">
        <v>74</v>
      </c>
      <c r="BB855" t="s">
        <v>74</v>
      </c>
      <c r="BC855" t="s">
        <v>74</v>
      </c>
      <c r="BD855" t="s">
        <v>13442</v>
      </c>
      <c r="BE855" t="s">
        <v>13443</v>
      </c>
      <c r="BF855" t="str">
        <f>HYPERLINK("http://dx.doi.org/10.1029/2006GL027091","http://dx.doi.org/10.1029/2006GL027091")</f>
        <v>http://dx.doi.org/10.1029/2006GL027091</v>
      </c>
      <c r="BG855" t="s">
        <v>74</v>
      </c>
      <c r="BH855" t="s">
        <v>74</v>
      </c>
      <c r="BI855">
        <v>6</v>
      </c>
      <c r="BJ855" t="s">
        <v>685</v>
      </c>
      <c r="BK855" t="s">
        <v>97</v>
      </c>
      <c r="BL855" t="s">
        <v>642</v>
      </c>
      <c r="BM855" t="s">
        <v>13444</v>
      </c>
      <c r="BN855" t="s">
        <v>74</v>
      </c>
      <c r="BO855" t="s">
        <v>124</v>
      </c>
      <c r="BP855" t="s">
        <v>74</v>
      </c>
      <c r="BQ855" t="s">
        <v>74</v>
      </c>
      <c r="BR855" t="s">
        <v>100</v>
      </c>
      <c r="BS855" t="s">
        <v>13445</v>
      </c>
      <c r="BT855" t="str">
        <f>HYPERLINK("https%3A%2F%2Fwww.webofscience.com%2Fwos%2Fwoscc%2Ffull-record%2FWOS:000240827000005","View Full Record in Web of Science")</f>
        <v>View Full Record in Web of Science</v>
      </c>
    </row>
    <row r="856" spans="1:72" x14ac:dyDescent="0.15">
      <c r="A856" t="s">
        <v>72</v>
      </c>
      <c r="B856" t="s">
        <v>13446</v>
      </c>
      <c r="C856" t="s">
        <v>74</v>
      </c>
      <c r="D856" t="s">
        <v>74</v>
      </c>
      <c r="E856" t="s">
        <v>74</v>
      </c>
      <c r="F856" t="s">
        <v>13447</v>
      </c>
      <c r="G856" t="s">
        <v>74</v>
      </c>
      <c r="H856" t="s">
        <v>74</v>
      </c>
      <c r="I856" t="s">
        <v>13448</v>
      </c>
      <c r="J856" t="s">
        <v>7251</v>
      </c>
      <c r="K856" t="s">
        <v>74</v>
      </c>
      <c r="L856" t="s">
        <v>74</v>
      </c>
      <c r="M856" t="s">
        <v>78</v>
      </c>
      <c r="N856" t="s">
        <v>79</v>
      </c>
      <c r="O856" t="s">
        <v>74</v>
      </c>
      <c r="P856" t="s">
        <v>74</v>
      </c>
      <c r="Q856" t="s">
        <v>74</v>
      </c>
      <c r="R856" t="s">
        <v>74</v>
      </c>
      <c r="S856" t="s">
        <v>74</v>
      </c>
      <c r="T856" t="s">
        <v>74</v>
      </c>
      <c r="U856" t="s">
        <v>13449</v>
      </c>
      <c r="V856" t="s">
        <v>13450</v>
      </c>
      <c r="W856" t="s">
        <v>13451</v>
      </c>
      <c r="X856" t="s">
        <v>5463</v>
      </c>
      <c r="Y856" t="s">
        <v>13452</v>
      </c>
      <c r="Z856" t="s">
        <v>13453</v>
      </c>
      <c r="AA856" t="s">
        <v>13454</v>
      </c>
      <c r="AB856" t="s">
        <v>13455</v>
      </c>
      <c r="AC856" t="s">
        <v>74</v>
      </c>
      <c r="AD856" t="s">
        <v>74</v>
      </c>
      <c r="AE856" t="s">
        <v>74</v>
      </c>
      <c r="AF856" t="s">
        <v>74</v>
      </c>
      <c r="AG856">
        <v>13</v>
      </c>
      <c r="AH856">
        <v>10</v>
      </c>
      <c r="AI856">
        <v>11</v>
      </c>
      <c r="AJ856">
        <v>1</v>
      </c>
      <c r="AK856">
        <v>7</v>
      </c>
      <c r="AL856" t="s">
        <v>7239</v>
      </c>
      <c r="AM856" t="s">
        <v>5498</v>
      </c>
      <c r="AN856" t="s">
        <v>7240</v>
      </c>
      <c r="AO856" t="s">
        <v>7257</v>
      </c>
      <c r="AP856" t="s">
        <v>7394</v>
      </c>
      <c r="AQ856" t="s">
        <v>74</v>
      </c>
      <c r="AR856" t="s">
        <v>7258</v>
      </c>
      <c r="AS856" t="s">
        <v>7259</v>
      </c>
      <c r="AT856" t="s">
        <v>13441</v>
      </c>
      <c r="AU856">
        <v>2006</v>
      </c>
      <c r="AV856">
        <v>33</v>
      </c>
      <c r="AW856">
        <v>18</v>
      </c>
      <c r="AX856" t="s">
        <v>74</v>
      </c>
      <c r="AY856" t="s">
        <v>74</v>
      </c>
      <c r="AZ856" t="s">
        <v>74</v>
      </c>
      <c r="BA856" t="s">
        <v>74</v>
      </c>
      <c r="BB856" t="s">
        <v>74</v>
      </c>
      <c r="BC856" t="s">
        <v>74</v>
      </c>
      <c r="BD856" t="s">
        <v>13456</v>
      </c>
      <c r="BE856" t="s">
        <v>13457</v>
      </c>
      <c r="BF856" t="str">
        <f>HYPERLINK("http://dx.doi.org/10.1029/2006GL027389","http://dx.doi.org/10.1029/2006GL027389")</f>
        <v>http://dx.doi.org/10.1029/2006GL027389</v>
      </c>
      <c r="BG856" t="s">
        <v>74</v>
      </c>
      <c r="BH856" t="s">
        <v>74</v>
      </c>
      <c r="BI856">
        <v>4</v>
      </c>
      <c r="BJ856" t="s">
        <v>685</v>
      </c>
      <c r="BK856" t="s">
        <v>97</v>
      </c>
      <c r="BL856" t="s">
        <v>642</v>
      </c>
      <c r="BM856" t="s">
        <v>13444</v>
      </c>
      <c r="BN856" t="s">
        <v>74</v>
      </c>
      <c r="BO856" t="s">
        <v>1314</v>
      </c>
      <c r="BP856" t="s">
        <v>74</v>
      </c>
      <c r="BQ856" t="s">
        <v>74</v>
      </c>
      <c r="BR856" t="s">
        <v>100</v>
      </c>
      <c r="BS856" t="s">
        <v>13458</v>
      </c>
      <c r="BT856" t="str">
        <f>HYPERLINK("https%3A%2F%2Fwww.webofscience.com%2Fwos%2Fwoscc%2Ffull-record%2FWOS:000240827000007","View Full Record in Web of Science")</f>
        <v>View Full Record in Web of Science</v>
      </c>
    </row>
    <row r="857" spans="1:72" x14ac:dyDescent="0.15">
      <c r="A857" t="s">
        <v>72</v>
      </c>
      <c r="B857" t="s">
        <v>13459</v>
      </c>
      <c r="C857" t="s">
        <v>74</v>
      </c>
      <c r="D857" t="s">
        <v>74</v>
      </c>
      <c r="E857" t="s">
        <v>74</v>
      </c>
      <c r="F857" t="s">
        <v>13460</v>
      </c>
      <c r="G857" t="s">
        <v>74</v>
      </c>
      <c r="H857" t="s">
        <v>74</v>
      </c>
      <c r="I857" t="s">
        <v>13461</v>
      </c>
      <c r="J857" t="s">
        <v>10130</v>
      </c>
      <c r="K857" t="s">
        <v>74</v>
      </c>
      <c r="L857" t="s">
        <v>74</v>
      </c>
      <c r="M857" t="s">
        <v>78</v>
      </c>
      <c r="N857" t="s">
        <v>366</v>
      </c>
      <c r="O857" t="s">
        <v>74</v>
      </c>
      <c r="P857" t="s">
        <v>74</v>
      </c>
      <c r="Q857" t="s">
        <v>74</v>
      </c>
      <c r="R857" t="s">
        <v>74</v>
      </c>
      <c r="S857" t="s">
        <v>74</v>
      </c>
      <c r="T857" t="s">
        <v>13462</v>
      </c>
      <c r="U857" t="s">
        <v>13463</v>
      </c>
      <c r="V857" t="s">
        <v>13464</v>
      </c>
      <c r="W857" t="s">
        <v>13465</v>
      </c>
      <c r="X857" t="s">
        <v>5057</v>
      </c>
      <c r="Y857" t="s">
        <v>13466</v>
      </c>
      <c r="Z857" t="s">
        <v>13467</v>
      </c>
      <c r="AA857" t="s">
        <v>74</v>
      </c>
      <c r="AB857" t="s">
        <v>74</v>
      </c>
      <c r="AC857" t="s">
        <v>13468</v>
      </c>
      <c r="AD857" t="s">
        <v>158</v>
      </c>
      <c r="AE857" t="s">
        <v>74</v>
      </c>
      <c r="AF857" t="s">
        <v>74</v>
      </c>
      <c r="AG857">
        <v>87</v>
      </c>
      <c r="AH857">
        <v>323</v>
      </c>
      <c r="AI857">
        <v>383</v>
      </c>
      <c r="AJ857">
        <v>7</v>
      </c>
      <c r="AK857">
        <v>184</v>
      </c>
      <c r="AL857" t="s">
        <v>10140</v>
      </c>
      <c r="AM857" t="s">
        <v>1197</v>
      </c>
      <c r="AN857" t="s">
        <v>10141</v>
      </c>
      <c r="AO857" t="s">
        <v>10142</v>
      </c>
      <c r="AP857" t="s">
        <v>10143</v>
      </c>
      <c r="AQ857" t="s">
        <v>74</v>
      </c>
      <c r="AR857" t="s">
        <v>10144</v>
      </c>
      <c r="AS857" t="s">
        <v>10145</v>
      </c>
      <c r="AT857" t="s">
        <v>13441</v>
      </c>
      <c r="AU857">
        <v>2006</v>
      </c>
      <c r="AV857">
        <v>273</v>
      </c>
      <c r="AW857">
        <v>1599</v>
      </c>
      <c r="AX857" t="s">
        <v>74</v>
      </c>
      <c r="AY857" t="s">
        <v>74</v>
      </c>
      <c r="AZ857" t="s">
        <v>74</v>
      </c>
      <c r="BA857" t="s">
        <v>74</v>
      </c>
      <c r="BB857">
        <v>2257</v>
      </c>
      <c r="BC857">
        <v>2266</v>
      </c>
      <c r="BD857" t="s">
        <v>74</v>
      </c>
      <c r="BE857" t="s">
        <v>13469</v>
      </c>
      <c r="BF857" t="str">
        <f>HYPERLINK("http://dx.doi.org/10.1098/rspb.2006.3545","http://dx.doi.org/10.1098/rspb.2006.3545")</f>
        <v>http://dx.doi.org/10.1098/rspb.2006.3545</v>
      </c>
      <c r="BG857" t="s">
        <v>74</v>
      </c>
      <c r="BH857" t="s">
        <v>74</v>
      </c>
      <c r="BI857">
        <v>10</v>
      </c>
      <c r="BJ857" t="s">
        <v>10147</v>
      </c>
      <c r="BK857" t="s">
        <v>97</v>
      </c>
      <c r="BL857" t="s">
        <v>10148</v>
      </c>
      <c r="BM857" t="s">
        <v>13470</v>
      </c>
      <c r="BN857">
        <v>16928626</v>
      </c>
      <c r="BO857" t="s">
        <v>1314</v>
      </c>
      <c r="BP857" t="s">
        <v>74</v>
      </c>
      <c r="BQ857" t="s">
        <v>74</v>
      </c>
      <c r="BR857" t="s">
        <v>100</v>
      </c>
      <c r="BS857" t="s">
        <v>13471</v>
      </c>
      <c r="BT857" t="str">
        <f>HYPERLINK("https%3A%2F%2Fwww.webofscience.com%2Fwos%2Fwoscc%2Ffull-record%2FWOS:000240400800001","View Full Record in Web of Science")</f>
        <v>View Full Record in Web of Science</v>
      </c>
    </row>
    <row r="858" spans="1:72" x14ac:dyDescent="0.15">
      <c r="A858" t="s">
        <v>72</v>
      </c>
      <c r="B858" t="s">
        <v>13472</v>
      </c>
      <c r="C858" t="s">
        <v>74</v>
      </c>
      <c r="D858" t="s">
        <v>74</v>
      </c>
      <c r="E858" t="s">
        <v>74</v>
      </c>
      <c r="F858" t="s">
        <v>13473</v>
      </c>
      <c r="G858" t="s">
        <v>74</v>
      </c>
      <c r="H858" t="s">
        <v>74</v>
      </c>
      <c r="I858" t="s">
        <v>13474</v>
      </c>
      <c r="J858" t="s">
        <v>7251</v>
      </c>
      <c r="K858" t="s">
        <v>74</v>
      </c>
      <c r="L858" t="s">
        <v>74</v>
      </c>
      <c r="M858" t="s">
        <v>78</v>
      </c>
      <c r="N858" t="s">
        <v>79</v>
      </c>
      <c r="O858" t="s">
        <v>74</v>
      </c>
      <c r="P858" t="s">
        <v>74</v>
      </c>
      <c r="Q858" t="s">
        <v>74</v>
      </c>
      <c r="R858" t="s">
        <v>74</v>
      </c>
      <c r="S858" t="s">
        <v>74</v>
      </c>
      <c r="T858" t="s">
        <v>74</v>
      </c>
      <c r="U858" t="s">
        <v>13475</v>
      </c>
      <c r="V858" t="s">
        <v>13476</v>
      </c>
      <c r="W858" t="s">
        <v>13477</v>
      </c>
      <c r="X858" t="s">
        <v>9903</v>
      </c>
      <c r="Y858" t="s">
        <v>13478</v>
      </c>
      <c r="Z858" t="s">
        <v>13479</v>
      </c>
      <c r="AA858" t="s">
        <v>74</v>
      </c>
      <c r="AB858" t="s">
        <v>13480</v>
      </c>
      <c r="AC858" t="s">
        <v>74</v>
      </c>
      <c r="AD858" t="s">
        <v>74</v>
      </c>
      <c r="AE858" t="s">
        <v>74</v>
      </c>
      <c r="AF858" t="s">
        <v>74</v>
      </c>
      <c r="AG858">
        <v>31</v>
      </c>
      <c r="AH858">
        <v>86</v>
      </c>
      <c r="AI858">
        <v>93</v>
      </c>
      <c r="AJ858">
        <v>0</v>
      </c>
      <c r="AK858">
        <v>17</v>
      </c>
      <c r="AL858" t="s">
        <v>7239</v>
      </c>
      <c r="AM858" t="s">
        <v>5498</v>
      </c>
      <c r="AN858" t="s">
        <v>7240</v>
      </c>
      <c r="AO858" t="s">
        <v>7257</v>
      </c>
      <c r="AP858" t="s">
        <v>7394</v>
      </c>
      <c r="AQ858" t="s">
        <v>74</v>
      </c>
      <c r="AR858" t="s">
        <v>7258</v>
      </c>
      <c r="AS858" t="s">
        <v>7259</v>
      </c>
      <c r="AT858" t="s">
        <v>13481</v>
      </c>
      <c r="AU858">
        <v>2006</v>
      </c>
      <c r="AV858">
        <v>33</v>
      </c>
      <c r="AW858">
        <v>18</v>
      </c>
      <c r="AX858" t="s">
        <v>74</v>
      </c>
      <c r="AY858" t="s">
        <v>74</v>
      </c>
      <c r="AZ858" t="s">
        <v>74</v>
      </c>
      <c r="BA858" t="s">
        <v>74</v>
      </c>
      <c r="BB858" t="s">
        <v>74</v>
      </c>
      <c r="BC858" t="s">
        <v>74</v>
      </c>
      <c r="BD858" t="s">
        <v>13482</v>
      </c>
      <c r="BE858" t="s">
        <v>13483</v>
      </c>
      <c r="BF858" t="str">
        <f>HYPERLINK("http://dx.doi.org/10.1029/2006GL027137","http://dx.doi.org/10.1029/2006GL027137")</f>
        <v>http://dx.doi.org/10.1029/2006GL027137</v>
      </c>
      <c r="BG858" t="s">
        <v>74</v>
      </c>
      <c r="BH858" t="s">
        <v>74</v>
      </c>
      <c r="BI858">
        <v>5</v>
      </c>
      <c r="BJ858" t="s">
        <v>685</v>
      </c>
      <c r="BK858" t="s">
        <v>97</v>
      </c>
      <c r="BL858" t="s">
        <v>642</v>
      </c>
      <c r="BM858" t="s">
        <v>13484</v>
      </c>
      <c r="BN858" t="s">
        <v>74</v>
      </c>
      <c r="BO858" t="s">
        <v>124</v>
      </c>
      <c r="BP858" t="s">
        <v>74</v>
      </c>
      <c r="BQ858" t="s">
        <v>74</v>
      </c>
      <c r="BR858" t="s">
        <v>100</v>
      </c>
      <c r="BS858" t="s">
        <v>13485</v>
      </c>
      <c r="BT858" t="str">
        <f>HYPERLINK("https%3A%2F%2Fwww.webofscience.com%2Fwos%2Fwoscc%2Ffull-record%2FWOS:000240826700006","View Full Record in Web of Science")</f>
        <v>View Full Record in Web of Science</v>
      </c>
    </row>
    <row r="859" spans="1:72" x14ac:dyDescent="0.15">
      <c r="A859" t="s">
        <v>72</v>
      </c>
      <c r="B859" t="s">
        <v>13486</v>
      </c>
      <c r="C859" t="s">
        <v>74</v>
      </c>
      <c r="D859" t="s">
        <v>74</v>
      </c>
      <c r="E859" t="s">
        <v>74</v>
      </c>
      <c r="F859" t="s">
        <v>13487</v>
      </c>
      <c r="G859" t="s">
        <v>74</v>
      </c>
      <c r="H859" t="s">
        <v>74</v>
      </c>
      <c r="I859" t="s">
        <v>13488</v>
      </c>
      <c r="J859" t="s">
        <v>7439</v>
      </c>
      <c r="K859" t="s">
        <v>74</v>
      </c>
      <c r="L859" t="s">
        <v>74</v>
      </c>
      <c r="M859" t="s">
        <v>78</v>
      </c>
      <c r="N859" t="s">
        <v>79</v>
      </c>
      <c r="O859" t="s">
        <v>74</v>
      </c>
      <c r="P859" t="s">
        <v>74</v>
      </c>
      <c r="Q859" t="s">
        <v>74</v>
      </c>
      <c r="R859" t="s">
        <v>74</v>
      </c>
      <c r="S859" t="s">
        <v>74</v>
      </c>
      <c r="T859" t="s">
        <v>74</v>
      </c>
      <c r="U859" t="s">
        <v>13489</v>
      </c>
      <c r="V859" t="s">
        <v>13490</v>
      </c>
      <c r="W859" t="s">
        <v>13491</v>
      </c>
      <c r="X859" t="s">
        <v>13492</v>
      </c>
      <c r="Y859" t="s">
        <v>13493</v>
      </c>
      <c r="Z859" t="s">
        <v>13494</v>
      </c>
      <c r="AA859" t="s">
        <v>13495</v>
      </c>
      <c r="AB859" t="s">
        <v>13496</v>
      </c>
      <c r="AC859" t="s">
        <v>74</v>
      </c>
      <c r="AD859" t="s">
        <v>74</v>
      </c>
      <c r="AE859" t="s">
        <v>74</v>
      </c>
      <c r="AF859" t="s">
        <v>74</v>
      </c>
      <c r="AG859">
        <v>71</v>
      </c>
      <c r="AH859">
        <v>317</v>
      </c>
      <c r="AI859">
        <v>352</v>
      </c>
      <c r="AJ859">
        <v>0</v>
      </c>
      <c r="AK859">
        <v>46</v>
      </c>
      <c r="AL859" t="s">
        <v>7239</v>
      </c>
      <c r="AM859" t="s">
        <v>5498</v>
      </c>
      <c r="AN859" t="s">
        <v>7240</v>
      </c>
      <c r="AO859" t="s">
        <v>7448</v>
      </c>
      <c r="AP859" t="s">
        <v>7449</v>
      </c>
      <c r="AQ859" t="s">
        <v>74</v>
      </c>
      <c r="AR859" t="s">
        <v>7450</v>
      </c>
      <c r="AS859" t="s">
        <v>7451</v>
      </c>
      <c r="AT859" t="s">
        <v>13481</v>
      </c>
      <c r="AU859">
        <v>2006</v>
      </c>
      <c r="AV859">
        <v>111</v>
      </c>
      <c r="AW859" t="s">
        <v>13294</v>
      </c>
      <c r="AX859" t="s">
        <v>74</v>
      </c>
      <c r="AY859" t="s">
        <v>74</v>
      </c>
      <c r="AZ859" t="s">
        <v>74</v>
      </c>
      <c r="BA859" t="s">
        <v>74</v>
      </c>
      <c r="BB859" t="s">
        <v>74</v>
      </c>
      <c r="BC859" t="s">
        <v>74</v>
      </c>
      <c r="BD859" t="s">
        <v>13497</v>
      </c>
      <c r="BE859" t="s">
        <v>13498</v>
      </c>
      <c r="BF859" t="str">
        <f>HYPERLINK("http://dx.doi.org/10.1029/2005JD006323","http://dx.doi.org/10.1029/2005JD006323")</f>
        <v>http://dx.doi.org/10.1029/2005JD006323</v>
      </c>
      <c r="BG859" t="s">
        <v>74</v>
      </c>
      <c r="BH859" t="s">
        <v>74</v>
      </c>
      <c r="BI859">
        <v>17</v>
      </c>
      <c r="BJ859" t="s">
        <v>3208</v>
      </c>
      <c r="BK859" t="s">
        <v>97</v>
      </c>
      <c r="BL859" t="s">
        <v>3208</v>
      </c>
      <c r="BM859" t="s">
        <v>13499</v>
      </c>
      <c r="BN859" t="s">
        <v>74</v>
      </c>
      <c r="BO859" t="s">
        <v>124</v>
      </c>
      <c r="BP859" t="s">
        <v>74</v>
      </c>
      <c r="BQ859" t="s">
        <v>74</v>
      </c>
      <c r="BR859" t="s">
        <v>100</v>
      </c>
      <c r="BS859" t="s">
        <v>13500</v>
      </c>
      <c r="BT859" t="str">
        <f>HYPERLINK("https%3A%2F%2Fwww.webofscience.com%2Fwos%2Fwoscc%2Ffull-record%2FWOS:000240827700001","View Full Record in Web of Science")</f>
        <v>View Full Record in Web of Science</v>
      </c>
    </row>
    <row r="860" spans="1:72" x14ac:dyDescent="0.15">
      <c r="A860" t="s">
        <v>72</v>
      </c>
      <c r="B860" t="s">
        <v>13501</v>
      </c>
      <c r="C860" t="s">
        <v>74</v>
      </c>
      <c r="D860" t="s">
        <v>74</v>
      </c>
      <c r="E860" t="s">
        <v>74</v>
      </c>
      <c r="F860" t="s">
        <v>13502</v>
      </c>
      <c r="G860" t="s">
        <v>74</v>
      </c>
      <c r="H860" t="s">
        <v>74</v>
      </c>
      <c r="I860" t="s">
        <v>13503</v>
      </c>
      <c r="J860" t="s">
        <v>8993</v>
      </c>
      <c r="K860" t="s">
        <v>74</v>
      </c>
      <c r="L860" t="s">
        <v>74</v>
      </c>
      <c r="M860" t="s">
        <v>78</v>
      </c>
      <c r="N860" t="s">
        <v>1431</v>
      </c>
      <c r="O860" t="s">
        <v>74</v>
      </c>
      <c r="P860" t="s">
        <v>74</v>
      </c>
      <c r="Q860" t="s">
        <v>74</v>
      </c>
      <c r="R860" t="s">
        <v>74</v>
      </c>
      <c r="S860" t="s">
        <v>74</v>
      </c>
      <c r="T860" t="s">
        <v>74</v>
      </c>
      <c r="U860" t="s">
        <v>13504</v>
      </c>
      <c r="V860" t="s">
        <v>74</v>
      </c>
      <c r="W860" t="s">
        <v>13505</v>
      </c>
      <c r="X860" t="s">
        <v>13506</v>
      </c>
      <c r="Y860" t="s">
        <v>13507</v>
      </c>
      <c r="Z860" t="s">
        <v>13508</v>
      </c>
      <c r="AA860" t="s">
        <v>13423</v>
      </c>
      <c r="AB860" t="s">
        <v>13424</v>
      </c>
      <c r="AC860" t="s">
        <v>7758</v>
      </c>
      <c r="AD860" t="s">
        <v>1254</v>
      </c>
      <c r="AE860" t="s">
        <v>74</v>
      </c>
      <c r="AF860" t="s">
        <v>74</v>
      </c>
      <c r="AG860">
        <v>22</v>
      </c>
      <c r="AH860">
        <v>29</v>
      </c>
      <c r="AI860">
        <v>30</v>
      </c>
      <c r="AJ860">
        <v>0</v>
      </c>
      <c r="AK860">
        <v>1</v>
      </c>
      <c r="AL860" t="s">
        <v>7239</v>
      </c>
      <c r="AM860" t="s">
        <v>5498</v>
      </c>
      <c r="AN860" t="s">
        <v>7240</v>
      </c>
      <c r="AO860" t="s">
        <v>9003</v>
      </c>
      <c r="AP860" t="s">
        <v>9004</v>
      </c>
      <c r="AQ860" t="s">
        <v>74</v>
      </c>
      <c r="AR860" t="s">
        <v>9005</v>
      </c>
      <c r="AS860" t="s">
        <v>9006</v>
      </c>
      <c r="AT860" t="s">
        <v>13509</v>
      </c>
      <c r="AU860">
        <v>2006</v>
      </c>
      <c r="AV860">
        <v>111</v>
      </c>
      <c r="AW860" t="s">
        <v>13425</v>
      </c>
      <c r="AX860" t="s">
        <v>74</v>
      </c>
      <c r="AY860" t="s">
        <v>74</v>
      </c>
      <c r="AZ860" t="s">
        <v>74</v>
      </c>
      <c r="BA860" t="s">
        <v>74</v>
      </c>
      <c r="BB860" t="s">
        <v>74</v>
      </c>
      <c r="BC860" t="s">
        <v>74</v>
      </c>
      <c r="BD860" t="s">
        <v>13510</v>
      </c>
      <c r="BE860" t="s">
        <v>13511</v>
      </c>
      <c r="BF860" t="str">
        <f>HYPERLINK("http://dx.doi.org/10.1029/2005JA011477","http://dx.doi.org/10.1029/2005JA011477")</f>
        <v>http://dx.doi.org/10.1029/2005JA011477</v>
      </c>
      <c r="BG860" t="s">
        <v>74</v>
      </c>
      <c r="BH860" t="s">
        <v>74</v>
      </c>
      <c r="BI860">
        <v>2</v>
      </c>
      <c r="BJ860" t="s">
        <v>801</v>
      </c>
      <c r="BK860" t="s">
        <v>97</v>
      </c>
      <c r="BL860" t="s">
        <v>801</v>
      </c>
      <c r="BM860" t="s">
        <v>13512</v>
      </c>
      <c r="BN860" t="s">
        <v>74</v>
      </c>
      <c r="BO860" t="s">
        <v>124</v>
      </c>
      <c r="BP860" t="s">
        <v>74</v>
      </c>
      <c r="BQ860" t="s">
        <v>74</v>
      </c>
      <c r="BR860" t="s">
        <v>100</v>
      </c>
      <c r="BS860" t="s">
        <v>13513</v>
      </c>
      <c r="BT860" t="str">
        <f>HYPERLINK("https%3A%2F%2Fwww.webofscience.com%2Fwos%2Fwoscc%2Ffull-record%2FWOS:000240647900004","View Full Record in Web of Science")</f>
        <v>View Full Record in Web of Science</v>
      </c>
    </row>
    <row r="861" spans="1:72" x14ac:dyDescent="0.15">
      <c r="A861" t="s">
        <v>72</v>
      </c>
      <c r="B861" t="s">
        <v>13514</v>
      </c>
      <c r="C861" t="s">
        <v>74</v>
      </c>
      <c r="D861" t="s">
        <v>74</v>
      </c>
      <c r="E861" t="s">
        <v>74</v>
      </c>
      <c r="F861" t="s">
        <v>13515</v>
      </c>
      <c r="G861" t="s">
        <v>74</v>
      </c>
      <c r="H861" t="s">
        <v>74</v>
      </c>
      <c r="I861" t="s">
        <v>13516</v>
      </c>
      <c r="J861" t="s">
        <v>7547</v>
      </c>
      <c r="K861" t="s">
        <v>74</v>
      </c>
      <c r="L861" t="s">
        <v>74</v>
      </c>
      <c r="M861" t="s">
        <v>78</v>
      </c>
      <c r="N861" t="s">
        <v>79</v>
      </c>
      <c r="O861" t="s">
        <v>74</v>
      </c>
      <c r="P861" t="s">
        <v>74</v>
      </c>
      <c r="Q861" t="s">
        <v>74</v>
      </c>
      <c r="R861" t="s">
        <v>74</v>
      </c>
      <c r="S861" t="s">
        <v>74</v>
      </c>
      <c r="T861" t="s">
        <v>13517</v>
      </c>
      <c r="U861" t="s">
        <v>13518</v>
      </c>
      <c r="V861" t="s">
        <v>13519</v>
      </c>
      <c r="W861" t="s">
        <v>13520</v>
      </c>
      <c r="X861" t="s">
        <v>13521</v>
      </c>
      <c r="Y861" t="s">
        <v>13522</v>
      </c>
      <c r="Z861" t="s">
        <v>13523</v>
      </c>
      <c r="AA861" t="s">
        <v>13524</v>
      </c>
      <c r="AB861" t="s">
        <v>13525</v>
      </c>
      <c r="AC861" t="s">
        <v>74</v>
      </c>
      <c r="AD861" t="s">
        <v>74</v>
      </c>
      <c r="AE861" t="s">
        <v>74</v>
      </c>
      <c r="AF861" t="s">
        <v>74</v>
      </c>
      <c r="AG861">
        <v>66</v>
      </c>
      <c r="AH861">
        <v>160</v>
      </c>
      <c r="AI861">
        <v>177</v>
      </c>
      <c r="AJ861">
        <v>1</v>
      </c>
      <c r="AK861">
        <v>28</v>
      </c>
      <c r="AL861" t="s">
        <v>2829</v>
      </c>
      <c r="AM861" t="s">
        <v>903</v>
      </c>
      <c r="AN861" t="s">
        <v>2830</v>
      </c>
      <c r="AO861" t="s">
        <v>7557</v>
      </c>
      <c r="AP861" t="s">
        <v>7558</v>
      </c>
      <c r="AQ861" t="s">
        <v>74</v>
      </c>
      <c r="AR861" t="s">
        <v>7559</v>
      </c>
      <c r="AS861" t="s">
        <v>7560</v>
      </c>
      <c r="AT861" t="s">
        <v>13526</v>
      </c>
      <c r="AU861">
        <v>2006</v>
      </c>
      <c r="AV861">
        <v>249</v>
      </c>
      <c r="AW861" t="s">
        <v>94</v>
      </c>
      <c r="AX861" t="s">
        <v>74</v>
      </c>
      <c r="AY861" t="s">
        <v>74</v>
      </c>
      <c r="AZ861" t="s">
        <v>74</v>
      </c>
      <c r="BA861" t="s">
        <v>74</v>
      </c>
      <c r="BB861">
        <v>1</v>
      </c>
      <c r="BC861">
        <v>13</v>
      </c>
      <c r="BD861" t="s">
        <v>74</v>
      </c>
      <c r="BE861" t="s">
        <v>13527</v>
      </c>
      <c r="BF861" t="str">
        <f>HYPERLINK("http://dx.doi.org/10.1016/j.epsl.2006.06.028","http://dx.doi.org/10.1016/j.epsl.2006.06.028")</f>
        <v>http://dx.doi.org/10.1016/j.epsl.2006.06.028</v>
      </c>
      <c r="BG861" t="s">
        <v>74</v>
      </c>
      <c r="BH861" t="s">
        <v>74</v>
      </c>
      <c r="BI861">
        <v>13</v>
      </c>
      <c r="BJ861" t="s">
        <v>865</v>
      </c>
      <c r="BK861" t="s">
        <v>97</v>
      </c>
      <c r="BL861" t="s">
        <v>865</v>
      </c>
      <c r="BM861" t="s">
        <v>13528</v>
      </c>
      <c r="BN861" t="s">
        <v>74</v>
      </c>
      <c r="BO861" t="s">
        <v>74</v>
      </c>
      <c r="BP861" t="s">
        <v>74</v>
      </c>
      <c r="BQ861" t="s">
        <v>74</v>
      </c>
      <c r="BR861" t="s">
        <v>100</v>
      </c>
      <c r="BS861" t="s">
        <v>13529</v>
      </c>
      <c r="BT861" t="str">
        <f>HYPERLINK("https%3A%2F%2Fwww.webofscience.com%2Fwos%2Fwoscc%2Ffull-record%2FWOS:000241226500001","View Full Record in Web of Science")</f>
        <v>View Full Record in Web of Science</v>
      </c>
    </row>
    <row r="862" spans="1:72" x14ac:dyDescent="0.15">
      <c r="A862" t="s">
        <v>72</v>
      </c>
      <c r="B862" t="s">
        <v>13530</v>
      </c>
      <c r="C862" t="s">
        <v>74</v>
      </c>
      <c r="D862" t="s">
        <v>74</v>
      </c>
      <c r="E862" t="s">
        <v>74</v>
      </c>
      <c r="F862" t="s">
        <v>13531</v>
      </c>
      <c r="G862" t="s">
        <v>74</v>
      </c>
      <c r="H862" t="s">
        <v>74</v>
      </c>
      <c r="I862" t="s">
        <v>13532</v>
      </c>
      <c r="J862" t="s">
        <v>7547</v>
      </c>
      <c r="K862" t="s">
        <v>74</v>
      </c>
      <c r="L862" t="s">
        <v>74</v>
      </c>
      <c r="M862" t="s">
        <v>78</v>
      </c>
      <c r="N862" t="s">
        <v>79</v>
      </c>
      <c r="O862" t="s">
        <v>74</v>
      </c>
      <c r="P862" t="s">
        <v>74</v>
      </c>
      <c r="Q862" t="s">
        <v>74</v>
      </c>
      <c r="R862" t="s">
        <v>74</v>
      </c>
      <c r="S862" t="s">
        <v>74</v>
      </c>
      <c r="T862" t="s">
        <v>13533</v>
      </c>
      <c r="U862" t="s">
        <v>13534</v>
      </c>
      <c r="V862" t="s">
        <v>13535</v>
      </c>
      <c r="W862" t="s">
        <v>13536</v>
      </c>
      <c r="X862" t="s">
        <v>13537</v>
      </c>
      <c r="Y862" t="s">
        <v>13538</v>
      </c>
      <c r="Z862" t="s">
        <v>13539</v>
      </c>
      <c r="AA862" t="s">
        <v>74</v>
      </c>
      <c r="AB862" t="s">
        <v>13540</v>
      </c>
      <c r="AC862" t="s">
        <v>74</v>
      </c>
      <c r="AD862" t="s">
        <v>74</v>
      </c>
      <c r="AE862" t="s">
        <v>74</v>
      </c>
      <c r="AF862" t="s">
        <v>74</v>
      </c>
      <c r="AG862">
        <v>49</v>
      </c>
      <c r="AH862">
        <v>50</v>
      </c>
      <c r="AI862">
        <v>55</v>
      </c>
      <c r="AJ862">
        <v>0</v>
      </c>
      <c r="AK862">
        <v>13</v>
      </c>
      <c r="AL862" t="s">
        <v>2829</v>
      </c>
      <c r="AM862" t="s">
        <v>903</v>
      </c>
      <c r="AN862" t="s">
        <v>2830</v>
      </c>
      <c r="AO862" t="s">
        <v>7557</v>
      </c>
      <c r="AP862" t="s">
        <v>7558</v>
      </c>
      <c r="AQ862" t="s">
        <v>74</v>
      </c>
      <c r="AR862" t="s">
        <v>7559</v>
      </c>
      <c r="AS862" t="s">
        <v>7560</v>
      </c>
      <c r="AT862" t="s">
        <v>13526</v>
      </c>
      <c r="AU862">
        <v>2006</v>
      </c>
      <c r="AV862">
        <v>249</v>
      </c>
      <c r="AW862" t="s">
        <v>94</v>
      </c>
      <c r="AX862" t="s">
        <v>74</v>
      </c>
      <c r="AY862" t="s">
        <v>74</v>
      </c>
      <c r="AZ862" t="s">
        <v>74</v>
      </c>
      <c r="BA862" t="s">
        <v>74</v>
      </c>
      <c r="BB862">
        <v>90</v>
      </c>
      <c r="BC862">
        <v>107</v>
      </c>
      <c r="BD862" t="s">
        <v>74</v>
      </c>
      <c r="BE862" t="s">
        <v>13541</v>
      </c>
      <c r="BF862" t="str">
        <f>HYPERLINK("http://dx.doi.org/10.1016/j.epsl.2006.06.044","http://dx.doi.org/10.1016/j.epsl.2006.06.044")</f>
        <v>http://dx.doi.org/10.1016/j.epsl.2006.06.044</v>
      </c>
      <c r="BG862" t="s">
        <v>74</v>
      </c>
      <c r="BH862" t="s">
        <v>74</v>
      </c>
      <c r="BI862">
        <v>18</v>
      </c>
      <c r="BJ862" t="s">
        <v>865</v>
      </c>
      <c r="BK862" t="s">
        <v>97</v>
      </c>
      <c r="BL862" t="s">
        <v>865</v>
      </c>
      <c r="BM862" t="s">
        <v>13528</v>
      </c>
      <c r="BN862" t="s">
        <v>74</v>
      </c>
      <c r="BO862" t="s">
        <v>74</v>
      </c>
      <c r="BP862" t="s">
        <v>74</v>
      </c>
      <c r="BQ862" t="s">
        <v>74</v>
      </c>
      <c r="BR862" t="s">
        <v>100</v>
      </c>
      <c r="BS862" t="s">
        <v>13542</v>
      </c>
      <c r="BT862" t="str">
        <f>HYPERLINK("https%3A%2F%2Fwww.webofscience.com%2Fwos%2Fwoscc%2Ffull-record%2FWOS:000241226500008","View Full Record in Web of Science")</f>
        <v>View Full Record in Web of Science</v>
      </c>
    </row>
    <row r="863" spans="1:72" x14ac:dyDescent="0.15">
      <c r="A863" t="s">
        <v>72</v>
      </c>
      <c r="B863" t="s">
        <v>13543</v>
      </c>
      <c r="C863" t="s">
        <v>74</v>
      </c>
      <c r="D863" t="s">
        <v>74</v>
      </c>
      <c r="E863" t="s">
        <v>74</v>
      </c>
      <c r="F863" t="s">
        <v>13544</v>
      </c>
      <c r="G863" t="s">
        <v>74</v>
      </c>
      <c r="H863" t="s">
        <v>74</v>
      </c>
      <c r="I863" t="s">
        <v>13545</v>
      </c>
      <c r="J863" t="s">
        <v>7251</v>
      </c>
      <c r="K863" t="s">
        <v>74</v>
      </c>
      <c r="L863" t="s">
        <v>74</v>
      </c>
      <c r="M863" t="s">
        <v>78</v>
      </c>
      <c r="N863" t="s">
        <v>79</v>
      </c>
      <c r="O863" t="s">
        <v>74</v>
      </c>
      <c r="P863" t="s">
        <v>74</v>
      </c>
      <c r="Q863" t="s">
        <v>74</v>
      </c>
      <c r="R863" t="s">
        <v>74</v>
      </c>
      <c r="S863" t="s">
        <v>74</v>
      </c>
      <c r="T863" t="s">
        <v>74</v>
      </c>
      <c r="U863" t="s">
        <v>13546</v>
      </c>
      <c r="V863" t="s">
        <v>13547</v>
      </c>
      <c r="W863" t="s">
        <v>513</v>
      </c>
      <c r="X863" t="s">
        <v>514</v>
      </c>
      <c r="Y863" t="s">
        <v>13548</v>
      </c>
      <c r="Z863" t="s">
        <v>13549</v>
      </c>
      <c r="AA863" t="s">
        <v>74</v>
      </c>
      <c r="AB863" t="s">
        <v>74</v>
      </c>
      <c r="AC863" t="s">
        <v>7485</v>
      </c>
      <c r="AD863" t="s">
        <v>158</v>
      </c>
      <c r="AE863" t="s">
        <v>74</v>
      </c>
      <c r="AF863" t="s">
        <v>74</v>
      </c>
      <c r="AG863">
        <v>23</v>
      </c>
      <c r="AH863">
        <v>25</v>
      </c>
      <c r="AI863">
        <v>30</v>
      </c>
      <c r="AJ863">
        <v>0</v>
      </c>
      <c r="AK863">
        <v>11</v>
      </c>
      <c r="AL863" t="s">
        <v>7239</v>
      </c>
      <c r="AM863" t="s">
        <v>5498</v>
      </c>
      <c r="AN863" t="s">
        <v>7240</v>
      </c>
      <c r="AO863" t="s">
        <v>7257</v>
      </c>
      <c r="AP863" t="s">
        <v>7394</v>
      </c>
      <c r="AQ863" t="s">
        <v>74</v>
      </c>
      <c r="AR863" t="s">
        <v>7258</v>
      </c>
      <c r="AS863" t="s">
        <v>7259</v>
      </c>
      <c r="AT863" t="s">
        <v>13526</v>
      </c>
      <c r="AU863">
        <v>2006</v>
      </c>
      <c r="AV863">
        <v>33</v>
      </c>
      <c r="AW863">
        <v>17</v>
      </c>
      <c r="AX863" t="s">
        <v>74</v>
      </c>
      <c r="AY863" t="s">
        <v>74</v>
      </c>
      <c r="AZ863" t="s">
        <v>74</v>
      </c>
      <c r="BA863" t="s">
        <v>74</v>
      </c>
      <c r="BB863" t="s">
        <v>74</v>
      </c>
      <c r="BC863" t="s">
        <v>74</v>
      </c>
      <c r="BD863" t="s">
        <v>13550</v>
      </c>
      <c r="BE863" t="s">
        <v>13551</v>
      </c>
      <c r="BF863" t="str">
        <f>HYPERLINK("http://dx.doi.org/10.1029/2006GL026627","http://dx.doi.org/10.1029/2006GL026627")</f>
        <v>http://dx.doi.org/10.1029/2006GL026627</v>
      </c>
      <c r="BG863" t="s">
        <v>74</v>
      </c>
      <c r="BH863" t="s">
        <v>74</v>
      </c>
      <c r="BI863">
        <v>4</v>
      </c>
      <c r="BJ863" t="s">
        <v>685</v>
      </c>
      <c r="BK863" t="s">
        <v>97</v>
      </c>
      <c r="BL863" t="s">
        <v>642</v>
      </c>
      <c r="BM863" t="s">
        <v>13552</v>
      </c>
      <c r="BN863" t="s">
        <v>74</v>
      </c>
      <c r="BO863" t="s">
        <v>124</v>
      </c>
      <c r="BP863" t="s">
        <v>74</v>
      </c>
      <c r="BQ863" t="s">
        <v>74</v>
      </c>
      <c r="BR863" t="s">
        <v>100</v>
      </c>
      <c r="BS863" t="s">
        <v>13553</v>
      </c>
      <c r="BT863" t="str">
        <f>HYPERLINK("https%3A%2F%2Fwww.webofscience.com%2Fwos%2Fwoscc%2Ffull-record%2FWOS:000240642700001","View Full Record in Web of Science")</f>
        <v>View Full Record in Web of Science</v>
      </c>
    </row>
    <row r="864" spans="1:72" x14ac:dyDescent="0.15">
      <c r="A864" t="s">
        <v>72</v>
      </c>
      <c r="B864" t="s">
        <v>13554</v>
      </c>
      <c r="C864" t="s">
        <v>74</v>
      </c>
      <c r="D864" t="s">
        <v>74</v>
      </c>
      <c r="E864" t="s">
        <v>74</v>
      </c>
      <c r="F864" t="s">
        <v>13555</v>
      </c>
      <c r="G864" t="s">
        <v>74</v>
      </c>
      <c r="H864" t="s">
        <v>74</v>
      </c>
      <c r="I864" t="s">
        <v>13556</v>
      </c>
      <c r="J864" t="s">
        <v>7439</v>
      </c>
      <c r="K864" t="s">
        <v>74</v>
      </c>
      <c r="L864" t="s">
        <v>74</v>
      </c>
      <c r="M864" t="s">
        <v>78</v>
      </c>
      <c r="N864" t="s">
        <v>79</v>
      </c>
      <c r="O864" t="s">
        <v>74</v>
      </c>
      <c r="P864" t="s">
        <v>74</v>
      </c>
      <c r="Q864" t="s">
        <v>74</v>
      </c>
      <c r="R864" t="s">
        <v>74</v>
      </c>
      <c r="S864" t="s">
        <v>74</v>
      </c>
      <c r="T864" t="s">
        <v>74</v>
      </c>
      <c r="U864" t="s">
        <v>13557</v>
      </c>
      <c r="V864" t="s">
        <v>13558</v>
      </c>
      <c r="W864" t="s">
        <v>13559</v>
      </c>
      <c r="X864" t="s">
        <v>13560</v>
      </c>
      <c r="Y864" t="s">
        <v>13561</v>
      </c>
      <c r="Z864" t="s">
        <v>13562</v>
      </c>
      <c r="AA864" t="s">
        <v>13563</v>
      </c>
      <c r="AB864" t="s">
        <v>74</v>
      </c>
      <c r="AC864" t="s">
        <v>74</v>
      </c>
      <c r="AD864" t="s">
        <v>74</v>
      </c>
      <c r="AE864" t="s">
        <v>74</v>
      </c>
      <c r="AF864" t="s">
        <v>74</v>
      </c>
      <c r="AG864">
        <v>46</v>
      </c>
      <c r="AH864">
        <v>87</v>
      </c>
      <c r="AI864">
        <v>89</v>
      </c>
      <c r="AJ864">
        <v>1</v>
      </c>
      <c r="AK864">
        <v>13</v>
      </c>
      <c r="AL864" t="s">
        <v>7239</v>
      </c>
      <c r="AM864" t="s">
        <v>5498</v>
      </c>
      <c r="AN864" t="s">
        <v>7240</v>
      </c>
      <c r="AO864" t="s">
        <v>7448</v>
      </c>
      <c r="AP864" t="s">
        <v>7449</v>
      </c>
      <c r="AQ864" t="s">
        <v>74</v>
      </c>
      <c r="AR864" t="s">
        <v>7450</v>
      </c>
      <c r="AS864" t="s">
        <v>7451</v>
      </c>
      <c r="AT864" t="s">
        <v>13564</v>
      </c>
      <c r="AU864">
        <v>2006</v>
      </c>
      <c r="AV864">
        <v>111</v>
      </c>
      <c r="AW864" t="s">
        <v>13565</v>
      </c>
      <c r="AX864" t="s">
        <v>74</v>
      </c>
      <c r="AY864" t="s">
        <v>74</v>
      </c>
      <c r="AZ864" t="s">
        <v>74</v>
      </c>
      <c r="BA864" t="s">
        <v>74</v>
      </c>
      <c r="BB864" t="s">
        <v>74</v>
      </c>
      <c r="BC864" t="s">
        <v>74</v>
      </c>
      <c r="BD864" t="s">
        <v>13566</v>
      </c>
      <c r="BE864" t="s">
        <v>13567</v>
      </c>
      <c r="BF864" t="str">
        <f>HYPERLINK("http://dx.doi.org/10.1029/2005JD006776","http://dx.doi.org/10.1029/2005JD006776")</f>
        <v>http://dx.doi.org/10.1029/2005JD006776</v>
      </c>
      <c r="BG864" t="s">
        <v>74</v>
      </c>
      <c r="BH864" t="s">
        <v>74</v>
      </c>
      <c r="BI864">
        <v>16</v>
      </c>
      <c r="BJ864" t="s">
        <v>3208</v>
      </c>
      <c r="BK864" t="s">
        <v>97</v>
      </c>
      <c r="BL864" t="s">
        <v>3208</v>
      </c>
      <c r="BM864" t="s">
        <v>13568</v>
      </c>
      <c r="BN864" t="s">
        <v>74</v>
      </c>
      <c r="BO864" t="s">
        <v>3355</v>
      </c>
      <c r="BP864" t="s">
        <v>74</v>
      </c>
      <c r="BQ864" t="s">
        <v>74</v>
      </c>
      <c r="BR864" t="s">
        <v>100</v>
      </c>
      <c r="BS864" t="s">
        <v>13569</v>
      </c>
      <c r="BT864" t="str">
        <f>HYPERLINK("https%3A%2F%2Fwww.webofscience.com%2Fwos%2Fwoscc%2Ffull-record%2FWOS:000240643900005","View Full Record in Web of Science")</f>
        <v>View Full Record in Web of Science</v>
      </c>
    </row>
    <row r="865" spans="1:72" x14ac:dyDescent="0.15">
      <c r="A865" t="s">
        <v>72</v>
      </c>
      <c r="B865" t="s">
        <v>13570</v>
      </c>
      <c r="C865" t="s">
        <v>74</v>
      </c>
      <c r="D865" t="s">
        <v>74</v>
      </c>
      <c r="E865" t="s">
        <v>74</v>
      </c>
      <c r="F865" t="s">
        <v>13571</v>
      </c>
      <c r="G865" t="s">
        <v>74</v>
      </c>
      <c r="H865" t="s">
        <v>74</v>
      </c>
      <c r="I865" t="s">
        <v>13572</v>
      </c>
      <c r="J865" t="s">
        <v>7287</v>
      </c>
      <c r="K865" t="s">
        <v>74</v>
      </c>
      <c r="L865" t="s">
        <v>74</v>
      </c>
      <c r="M865" t="s">
        <v>78</v>
      </c>
      <c r="N865" t="s">
        <v>1431</v>
      </c>
      <c r="O865" t="s">
        <v>74</v>
      </c>
      <c r="P865" t="s">
        <v>74</v>
      </c>
      <c r="Q865" t="s">
        <v>74</v>
      </c>
      <c r="R865" t="s">
        <v>74</v>
      </c>
      <c r="S865" t="s">
        <v>74</v>
      </c>
      <c r="T865" t="s">
        <v>74</v>
      </c>
      <c r="U865" t="s">
        <v>13573</v>
      </c>
      <c r="V865" t="s">
        <v>74</v>
      </c>
      <c r="W865" t="s">
        <v>13574</v>
      </c>
      <c r="X865" t="s">
        <v>13575</v>
      </c>
      <c r="Y865" t="s">
        <v>13576</v>
      </c>
      <c r="Z865" t="s">
        <v>13577</v>
      </c>
      <c r="AA865" t="s">
        <v>74</v>
      </c>
      <c r="AB865" t="s">
        <v>74</v>
      </c>
      <c r="AC865" t="s">
        <v>74</v>
      </c>
      <c r="AD865" t="s">
        <v>74</v>
      </c>
      <c r="AE865" t="s">
        <v>74</v>
      </c>
      <c r="AF865" t="s">
        <v>74</v>
      </c>
      <c r="AG865">
        <v>18</v>
      </c>
      <c r="AH865">
        <v>26</v>
      </c>
      <c r="AI865">
        <v>29</v>
      </c>
      <c r="AJ865">
        <v>0</v>
      </c>
      <c r="AK865">
        <v>13</v>
      </c>
      <c r="AL865" t="s">
        <v>7239</v>
      </c>
      <c r="AM865" t="s">
        <v>5498</v>
      </c>
      <c r="AN865" t="s">
        <v>7240</v>
      </c>
      <c r="AO865" t="s">
        <v>7296</v>
      </c>
      <c r="AP865" t="s">
        <v>7297</v>
      </c>
      <c r="AQ865" t="s">
        <v>74</v>
      </c>
      <c r="AR865" t="s">
        <v>7298</v>
      </c>
      <c r="AS865" t="s">
        <v>7299</v>
      </c>
      <c r="AT865" t="s">
        <v>13564</v>
      </c>
      <c r="AU865">
        <v>2006</v>
      </c>
      <c r="AV865">
        <v>111</v>
      </c>
      <c r="AW865" t="s">
        <v>13578</v>
      </c>
      <c r="AX865" t="s">
        <v>74</v>
      </c>
      <c r="AY865" t="s">
        <v>74</v>
      </c>
      <c r="AZ865" t="s">
        <v>74</v>
      </c>
      <c r="BA865" t="s">
        <v>74</v>
      </c>
      <c r="BB865" t="s">
        <v>74</v>
      </c>
      <c r="BC865" t="s">
        <v>74</v>
      </c>
      <c r="BD865" t="s">
        <v>13579</v>
      </c>
      <c r="BE865" t="s">
        <v>13580</v>
      </c>
      <c r="BF865" t="str">
        <f>HYPERLINK("http://dx.doi.org/10.1029/2005JC003411","http://dx.doi.org/10.1029/2005JC003411")</f>
        <v>http://dx.doi.org/10.1029/2005JC003411</v>
      </c>
      <c r="BG865" t="s">
        <v>74</v>
      </c>
      <c r="BH865" t="s">
        <v>74</v>
      </c>
      <c r="BI865">
        <v>3</v>
      </c>
      <c r="BJ865" t="s">
        <v>1260</v>
      </c>
      <c r="BK865" t="s">
        <v>97</v>
      </c>
      <c r="BL865" t="s">
        <v>1260</v>
      </c>
      <c r="BM865" t="s">
        <v>13581</v>
      </c>
      <c r="BN865" t="s">
        <v>74</v>
      </c>
      <c r="BO865" t="s">
        <v>124</v>
      </c>
      <c r="BP865" t="s">
        <v>74</v>
      </c>
      <c r="BQ865" t="s">
        <v>74</v>
      </c>
      <c r="BR865" t="s">
        <v>100</v>
      </c>
      <c r="BS865" t="s">
        <v>13582</v>
      </c>
      <c r="BT865" t="str">
        <f>HYPERLINK("https%3A%2F%2Fwww.webofscience.com%2Fwos%2Fwoscc%2Ffull-record%2FWOS:000240644900002","View Full Record in Web of Science")</f>
        <v>View Full Record in Web of Science</v>
      </c>
    </row>
    <row r="866" spans="1:72" x14ac:dyDescent="0.15">
      <c r="A866" t="s">
        <v>72</v>
      </c>
      <c r="B866" t="s">
        <v>13583</v>
      </c>
      <c r="C866" t="s">
        <v>74</v>
      </c>
      <c r="D866" t="s">
        <v>74</v>
      </c>
      <c r="E866" t="s">
        <v>74</v>
      </c>
      <c r="F866" t="s">
        <v>13584</v>
      </c>
      <c r="G866" t="s">
        <v>74</v>
      </c>
      <c r="H866" t="s">
        <v>74</v>
      </c>
      <c r="I866" t="s">
        <v>13585</v>
      </c>
      <c r="J866" t="s">
        <v>7251</v>
      </c>
      <c r="K866" t="s">
        <v>74</v>
      </c>
      <c r="L866" t="s">
        <v>74</v>
      </c>
      <c r="M866" t="s">
        <v>78</v>
      </c>
      <c r="N866" t="s">
        <v>79</v>
      </c>
      <c r="O866" t="s">
        <v>74</v>
      </c>
      <c r="P866" t="s">
        <v>74</v>
      </c>
      <c r="Q866" t="s">
        <v>74</v>
      </c>
      <c r="R866" t="s">
        <v>74</v>
      </c>
      <c r="S866" t="s">
        <v>74</v>
      </c>
      <c r="T866" t="s">
        <v>74</v>
      </c>
      <c r="U866" t="s">
        <v>13586</v>
      </c>
      <c r="V866" t="s">
        <v>13587</v>
      </c>
      <c r="W866" t="s">
        <v>13588</v>
      </c>
      <c r="X866" t="s">
        <v>13589</v>
      </c>
      <c r="Y866" t="s">
        <v>13590</v>
      </c>
      <c r="Z866" t="s">
        <v>13591</v>
      </c>
      <c r="AA866" t="s">
        <v>13592</v>
      </c>
      <c r="AB866" t="s">
        <v>13593</v>
      </c>
      <c r="AC866" t="s">
        <v>74</v>
      </c>
      <c r="AD866" t="s">
        <v>74</v>
      </c>
      <c r="AE866" t="s">
        <v>74</v>
      </c>
      <c r="AF866" t="s">
        <v>74</v>
      </c>
      <c r="AG866">
        <v>19</v>
      </c>
      <c r="AH866">
        <v>5</v>
      </c>
      <c r="AI866">
        <v>6</v>
      </c>
      <c r="AJ866">
        <v>0</v>
      </c>
      <c r="AK866">
        <v>1</v>
      </c>
      <c r="AL866" t="s">
        <v>7239</v>
      </c>
      <c r="AM866" t="s">
        <v>5498</v>
      </c>
      <c r="AN866" t="s">
        <v>7240</v>
      </c>
      <c r="AO866" t="s">
        <v>7257</v>
      </c>
      <c r="AP866" t="s">
        <v>7394</v>
      </c>
      <c r="AQ866" t="s">
        <v>74</v>
      </c>
      <c r="AR866" t="s">
        <v>7258</v>
      </c>
      <c r="AS866" t="s">
        <v>7259</v>
      </c>
      <c r="AT866" t="s">
        <v>13594</v>
      </c>
      <c r="AU866">
        <v>2006</v>
      </c>
      <c r="AV866">
        <v>33</v>
      </c>
      <c r="AW866">
        <v>17</v>
      </c>
      <c r="AX866" t="s">
        <v>74</v>
      </c>
      <c r="AY866" t="s">
        <v>74</v>
      </c>
      <c r="AZ866" t="s">
        <v>74</v>
      </c>
      <c r="BA866" t="s">
        <v>74</v>
      </c>
      <c r="BB866" t="s">
        <v>74</v>
      </c>
      <c r="BC866" t="s">
        <v>74</v>
      </c>
      <c r="BD866" t="s">
        <v>13595</v>
      </c>
      <c r="BE866" t="s">
        <v>13596</v>
      </c>
      <c r="BF866" t="str">
        <f>HYPERLINK("http://dx.doi.org/10.1029/2006GL026509","http://dx.doi.org/10.1029/2006GL026509")</f>
        <v>http://dx.doi.org/10.1029/2006GL026509</v>
      </c>
      <c r="BG866" t="s">
        <v>74</v>
      </c>
      <c r="BH866" t="s">
        <v>74</v>
      </c>
      <c r="BI866">
        <v>4</v>
      </c>
      <c r="BJ866" t="s">
        <v>685</v>
      </c>
      <c r="BK866" t="s">
        <v>97</v>
      </c>
      <c r="BL866" t="s">
        <v>642</v>
      </c>
      <c r="BM866" t="s">
        <v>13597</v>
      </c>
      <c r="BN866" t="s">
        <v>74</v>
      </c>
      <c r="BO866" t="s">
        <v>124</v>
      </c>
      <c r="BP866" t="s">
        <v>74</v>
      </c>
      <c r="BQ866" t="s">
        <v>74</v>
      </c>
      <c r="BR866" t="s">
        <v>100</v>
      </c>
      <c r="BS866" t="s">
        <v>13598</v>
      </c>
      <c r="BT866" t="str">
        <f>HYPERLINK("https%3A%2F%2Fwww.webofscience.com%2Fwos%2Fwoscc%2Ffull-record%2FWOS:000240642300001","View Full Record in Web of Science")</f>
        <v>View Full Record in Web of Science</v>
      </c>
    </row>
    <row r="867" spans="1:72" x14ac:dyDescent="0.15">
      <c r="A867" t="s">
        <v>72</v>
      </c>
      <c r="B867" t="s">
        <v>13599</v>
      </c>
      <c r="C867" t="s">
        <v>74</v>
      </c>
      <c r="D867" t="s">
        <v>74</v>
      </c>
      <c r="E867" t="s">
        <v>74</v>
      </c>
      <c r="F867" t="s">
        <v>13600</v>
      </c>
      <c r="G867" t="s">
        <v>74</v>
      </c>
      <c r="H867" t="s">
        <v>74</v>
      </c>
      <c r="I867" t="s">
        <v>13601</v>
      </c>
      <c r="J867" t="s">
        <v>7251</v>
      </c>
      <c r="K867" t="s">
        <v>74</v>
      </c>
      <c r="L867" t="s">
        <v>74</v>
      </c>
      <c r="M867" t="s">
        <v>78</v>
      </c>
      <c r="N867" t="s">
        <v>79</v>
      </c>
      <c r="O867" t="s">
        <v>74</v>
      </c>
      <c r="P867" t="s">
        <v>74</v>
      </c>
      <c r="Q867" t="s">
        <v>74</v>
      </c>
      <c r="R867" t="s">
        <v>74</v>
      </c>
      <c r="S867" t="s">
        <v>74</v>
      </c>
      <c r="T867" t="s">
        <v>74</v>
      </c>
      <c r="U867" t="s">
        <v>13602</v>
      </c>
      <c r="V867" t="s">
        <v>13603</v>
      </c>
      <c r="W867" t="s">
        <v>13604</v>
      </c>
      <c r="X867" t="s">
        <v>13605</v>
      </c>
      <c r="Y867" t="s">
        <v>13606</v>
      </c>
      <c r="Z867" t="s">
        <v>13607</v>
      </c>
      <c r="AA867" t="s">
        <v>13608</v>
      </c>
      <c r="AB867" t="s">
        <v>13609</v>
      </c>
      <c r="AC867" t="s">
        <v>74</v>
      </c>
      <c r="AD867" t="s">
        <v>74</v>
      </c>
      <c r="AE867" t="s">
        <v>74</v>
      </c>
      <c r="AF867" t="s">
        <v>74</v>
      </c>
      <c r="AG867">
        <v>20</v>
      </c>
      <c r="AH867">
        <v>90</v>
      </c>
      <c r="AI867">
        <v>99</v>
      </c>
      <c r="AJ867">
        <v>0</v>
      </c>
      <c r="AK867">
        <v>12</v>
      </c>
      <c r="AL867" t="s">
        <v>7239</v>
      </c>
      <c r="AM867" t="s">
        <v>5498</v>
      </c>
      <c r="AN867" t="s">
        <v>7240</v>
      </c>
      <c r="AO867" t="s">
        <v>7257</v>
      </c>
      <c r="AP867" t="s">
        <v>7394</v>
      </c>
      <c r="AQ867" t="s">
        <v>74</v>
      </c>
      <c r="AR867" t="s">
        <v>7258</v>
      </c>
      <c r="AS867" t="s">
        <v>7259</v>
      </c>
      <c r="AT867" t="s">
        <v>13610</v>
      </c>
      <c r="AU867">
        <v>2006</v>
      </c>
      <c r="AV867">
        <v>33</v>
      </c>
      <c r="AW867">
        <v>17</v>
      </c>
      <c r="AX867" t="s">
        <v>74</v>
      </c>
      <c r="AY867" t="s">
        <v>74</v>
      </c>
      <c r="AZ867" t="s">
        <v>74</v>
      </c>
      <c r="BA867" t="s">
        <v>74</v>
      </c>
      <c r="BB867" t="s">
        <v>74</v>
      </c>
      <c r="BC867" t="s">
        <v>74</v>
      </c>
      <c r="BD867" t="s">
        <v>13611</v>
      </c>
      <c r="BE867" t="s">
        <v>13612</v>
      </c>
      <c r="BF867" t="str">
        <f>HYPERLINK("http://dx.doi.org/10.1029/2006GL027235","http://dx.doi.org/10.1029/2006GL027235")</f>
        <v>http://dx.doi.org/10.1029/2006GL027235</v>
      </c>
      <c r="BG867" t="s">
        <v>74</v>
      </c>
      <c r="BH867" t="s">
        <v>74</v>
      </c>
      <c r="BI867">
        <v>4</v>
      </c>
      <c r="BJ867" t="s">
        <v>685</v>
      </c>
      <c r="BK867" t="s">
        <v>97</v>
      </c>
      <c r="BL867" t="s">
        <v>642</v>
      </c>
      <c r="BM867" t="s">
        <v>13613</v>
      </c>
      <c r="BN867" t="s">
        <v>74</v>
      </c>
      <c r="BO867" t="s">
        <v>124</v>
      </c>
      <c r="BP867" t="s">
        <v>74</v>
      </c>
      <c r="BQ867" t="s">
        <v>74</v>
      </c>
      <c r="BR867" t="s">
        <v>100</v>
      </c>
      <c r="BS867" t="s">
        <v>13614</v>
      </c>
      <c r="BT867" t="str">
        <f>HYPERLINK("https%3A%2F%2Fwww.webofscience.com%2Fwos%2Fwoscc%2Ffull-record%2FWOS:000240642100009","View Full Record in Web of Science")</f>
        <v>View Full Record in Web of Science</v>
      </c>
    </row>
    <row r="868" spans="1:72" x14ac:dyDescent="0.15">
      <c r="A868" t="s">
        <v>72</v>
      </c>
      <c r="B868" t="s">
        <v>13615</v>
      </c>
      <c r="C868" t="s">
        <v>74</v>
      </c>
      <c r="D868" t="s">
        <v>74</v>
      </c>
      <c r="E868" t="s">
        <v>74</v>
      </c>
      <c r="F868" t="s">
        <v>13616</v>
      </c>
      <c r="G868" t="s">
        <v>74</v>
      </c>
      <c r="H868" t="s">
        <v>74</v>
      </c>
      <c r="I868" t="s">
        <v>13617</v>
      </c>
      <c r="J868" t="s">
        <v>7802</v>
      </c>
      <c r="K868" t="s">
        <v>74</v>
      </c>
      <c r="L868" t="s">
        <v>74</v>
      </c>
      <c r="M868" t="s">
        <v>78</v>
      </c>
      <c r="N868" t="s">
        <v>79</v>
      </c>
      <c r="O868" t="s">
        <v>74</v>
      </c>
      <c r="P868" t="s">
        <v>74</v>
      </c>
      <c r="Q868" t="s">
        <v>74</v>
      </c>
      <c r="R868" t="s">
        <v>74</v>
      </c>
      <c r="S868" t="s">
        <v>74</v>
      </c>
      <c r="T868" t="s">
        <v>13618</v>
      </c>
      <c r="U868" t="s">
        <v>74</v>
      </c>
      <c r="V868" t="s">
        <v>13619</v>
      </c>
      <c r="W868" t="s">
        <v>13620</v>
      </c>
      <c r="X868" t="s">
        <v>13621</v>
      </c>
      <c r="Y868" t="s">
        <v>13622</v>
      </c>
      <c r="Z868" t="s">
        <v>13623</v>
      </c>
      <c r="AA868" t="s">
        <v>74</v>
      </c>
      <c r="AB868" t="s">
        <v>13624</v>
      </c>
      <c r="AC868" t="s">
        <v>74</v>
      </c>
      <c r="AD868" t="s">
        <v>74</v>
      </c>
      <c r="AE868" t="s">
        <v>74</v>
      </c>
      <c r="AF868" t="s">
        <v>74</v>
      </c>
      <c r="AG868">
        <v>13</v>
      </c>
      <c r="AH868">
        <v>5</v>
      </c>
      <c r="AI868">
        <v>5</v>
      </c>
      <c r="AJ868">
        <v>0</v>
      </c>
      <c r="AK868">
        <v>10</v>
      </c>
      <c r="AL868" t="s">
        <v>7809</v>
      </c>
      <c r="AM868" t="s">
        <v>7810</v>
      </c>
      <c r="AN868" t="s">
        <v>7811</v>
      </c>
      <c r="AO868" t="s">
        <v>7812</v>
      </c>
      <c r="AP868" t="s">
        <v>74</v>
      </c>
      <c r="AQ868" t="s">
        <v>74</v>
      </c>
      <c r="AR868" t="s">
        <v>7813</v>
      </c>
      <c r="AS868" t="s">
        <v>7814</v>
      </c>
      <c r="AT868" t="s">
        <v>13625</v>
      </c>
      <c r="AU868">
        <v>2006</v>
      </c>
      <c r="AV868">
        <v>91</v>
      </c>
      <c r="AW868">
        <v>5</v>
      </c>
      <c r="AX868" t="s">
        <v>74</v>
      </c>
      <c r="AY868" t="s">
        <v>74</v>
      </c>
      <c r="AZ868" t="s">
        <v>74</v>
      </c>
      <c r="BA868" t="s">
        <v>74</v>
      </c>
      <c r="BB868">
        <v>686</v>
      </c>
      <c r="BC868">
        <v>689</v>
      </c>
      <c r="BD868" t="s">
        <v>74</v>
      </c>
      <c r="BE868" t="s">
        <v>74</v>
      </c>
      <c r="BF868" t="s">
        <v>74</v>
      </c>
      <c r="BG868" t="s">
        <v>74</v>
      </c>
      <c r="BH868" t="s">
        <v>74</v>
      </c>
      <c r="BI868">
        <v>4</v>
      </c>
      <c r="BJ868" t="s">
        <v>884</v>
      </c>
      <c r="BK868" t="s">
        <v>97</v>
      </c>
      <c r="BL868" t="s">
        <v>885</v>
      </c>
      <c r="BM868" t="s">
        <v>13626</v>
      </c>
      <c r="BN868" t="s">
        <v>74</v>
      </c>
      <c r="BO868" t="s">
        <v>74</v>
      </c>
      <c r="BP868" t="s">
        <v>74</v>
      </c>
      <c r="BQ868" t="s">
        <v>74</v>
      </c>
      <c r="BR868" t="s">
        <v>100</v>
      </c>
      <c r="BS868" t="s">
        <v>13627</v>
      </c>
      <c r="BT868" t="str">
        <f>HYPERLINK("https%3A%2F%2Fwww.webofscience.com%2Fwos%2Fwoscc%2Ffull-record%2FWOS:000240578400029","View Full Record in Web of Science")</f>
        <v>View Full Record in Web of Science</v>
      </c>
    </row>
    <row r="869" spans="1:72" x14ac:dyDescent="0.15">
      <c r="A869" t="s">
        <v>72</v>
      </c>
      <c r="B869" t="s">
        <v>13628</v>
      </c>
      <c r="C869" t="s">
        <v>74</v>
      </c>
      <c r="D869" t="s">
        <v>74</v>
      </c>
      <c r="E869" t="s">
        <v>74</v>
      </c>
      <c r="F869" t="s">
        <v>13629</v>
      </c>
      <c r="G869" t="s">
        <v>74</v>
      </c>
      <c r="H869" t="s">
        <v>74</v>
      </c>
      <c r="I869" t="s">
        <v>13630</v>
      </c>
      <c r="J869" t="s">
        <v>12048</v>
      </c>
      <c r="K869" t="s">
        <v>74</v>
      </c>
      <c r="L869" t="s">
        <v>74</v>
      </c>
      <c r="M869" t="s">
        <v>78</v>
      </c>
      <c r="N869" t="s">
        <v>79</v>
      </c>
      <c r="O869" t="s">
        <v>74</v>
      </c>
      <c r="P869" t="s">
        <v>74</v>
      </c>
      <c r="Q869" t="s">
        <v>74</v>
      </c>
      <c r="R869" t="s">
        <v>74</v>
      </c>
      <c r="S869" t="s">
        <v>74</v>
      </c>
      <c r="T869" t="s">
        <v>13631</v>
      </c>
      <c r="U869" t="s">
        <v>13632</v>
      </c>
      <c r="V869" t="s">
        <v>13633</v>
      </c>
      <c r="W869" t="s">
        <v>13634</v>
      </c>
      <c r="X869" t="s">
        <v>13635</v>
      </c>
      <c r="Y869" t="s">
        <v>13636</v>
      </c>
      <c r="Z869" t="s">
        <v>13637</v>
      </c>
      <c r="AA869" t="s">
        <v>74</v>
      </c>
      <c r="AB869" t="s">
        <v>74</v>
      </c>
      <c r="AC869" t="s">
        <v>74</v>
      </c>
      <c r="AD869" t="s">
        <v>74</v>
      </c>
      <c r="AE869" t="s">
        <v>74</v>
      </c>
      <c r="AF869" t="s">
        <v>74</v>
      </c>
      <c r="AG869">
        <v>61</v>
      </c>
      <c r="AH869">
        <v>30</v>
      </c>
      <c r="AI869">
        <v>37</v>
      </c>
      <c r="AJ869">
        <v>0</v>
      </c>
      <c r="AK869">
        <v>37</v>
      </c>
      <c r="AL869" t="s">
        <v>2829</v>
      </c>
      <c r="AM869" t="s">
        <v>903</v>
      </c>
      <c r="AN869" t="s">
        <v>2830</v>
      </c>
      <c r="AO869" t="s">
        <v>12058</v>
      </c>
      <c r="AP869" t="s">
        <v>12059</v>
      </c>
      <c r="AQ869" t="s">
        <v>74</v>
      </c>
      <c r="AR869" t="s">
        <v>12060</v>
      </c>
      <c r="AS869" t="s">
        <v>12061</v>
      </c>
      <c r="AT869" t="s">
        <v>13638</v>
      </c>
      <c r="AU869">
        <v>2006</v>
      </c>
      <c r="AV869">
        <v>101</v>
      </c>
      <c r="AW869" t="s">
        <v>94</v>
      </c>
      <c r="AX869" t="s">
        <v>74</v>
      </c>
      <c r="AY869" t="s">
        <v>74</v>
      </c>
      <c r="AZ869" t="s">
        <v>74</v>
      </c>
      <c r="BA869" t="s">
        <v>74</v>
      </c>
      <c r="BB869">
        <v>54</v>
      </c>
      <c r="BC869">
        <v>67</v>
      </c>
      <c r="BD869" t="s">
        <v>74</v>
      </c>
      <c r="BE869" t="s">
        <v>13639</v>
      </c>
      <c r="BF869" t="str">
        <f>HYPERLINK("http://dx.doi.org/10.1016/j.marchem.2006.01.003","http://dx.doi.org/10.1016/j.marchem.2006.01.003")</f>
        <v>http://dx.doi.org/10.1016/j.marchem.2006.01.003</v>
      </c>
      <c r="BG869" t="s">
        <v>74</v>
      </c>
      <c r="BH869" t="s">
        <v>74</v>
      </c>
      <c r="BI869">
        <v>14</v>
      </c>
      <c r="BJ869" t="s">
        <v>12064</v>
      </c>
      <c r="BK869" t="s">
        <v>97</v>
      </c>
      <c r="BL869" t="s">
        <v>12065</v>
      </c>
      <c r="BM869" t="s">
        <v>13640</v>
      </c>
      <c r="BN869" t="s">
        <v>74</v>
      </c>
      <c r="BO869" t="s">
        <v>74</v>
      </c>
      <c r="BP869" t="s">
        <v>74</v>
      </c>
      <c r="BQ869" t="s">
        <v>74</v>
      </c>
      <c r="BR869" t="s">
        <v>100</v>
      </c>
      <c r="BS869" t="s">
        <v>13641</v>
      </c>
      <c r="BT869" t="str">
        <f>HYPERLINK("https%3A%2F%2Fwww.webofscience.com%2Fwos%2Fwoscc%2Ffull-record%2FWOS:000238301900005","View Full Record in Web of Science")</f>
        <v>View Full Record in Web of Science</v>
      </c>
    </row>
    <row r="870" spans="1:72" x14ac:dyDescent="0.15">
      <c r="A870" t="s">
        <v>72</v>
      </c>
      <c r="B870" t="s">
        <v>13642</v>
      </c>
      <c r="C870" t="s">
        <v>74</v>
      </c>
      <c r="D870" t="s">
        <v>74</v>
      </c>
      <c r="E870" t="s">
        <v>74</v>
      </c>
      <c r="F870" t="s">
        <v>13643</v>
      </c>
      <c r="G870" t="s">
        <v>74</v>
      </c>
      <c r="H870" t="s">
        <v>74</v>
      </c>
      <c r="I870" t="s">
        <v>13644</v>
      </c>
      <c r="J870" t="s">
        <v>7231</v>
      </c>
      <c r="K870" t="s">
        <v>74</v>
      </c>
      <c r="L870" t="s">
        <v>74</v>
      </c>
      <c r="M870" t="s">
        <v>78</v>
      </c>
      <c r="N870" t="s">
        <v>79</v>
      </c>
      <c r="O870" t="s">
        <v>74</v>
      </c>
      <c r="P870" t="s">
        <v>74</v>
      </c>
      <c r="Q870" t="s">
        <v>74</v>
      </c>
      <c r="R870" t="s">
        <v>74</v>
      </c>
      <c r="S870" t="s">
        <v>74</v>
      </c>
      <c r="T870" t="s">
        <v>13645</v>
      </c>
      <c r="U870" t="s">
        <v>13646</v>
      </c>
      <c r="V870" t="s">
        <v>13647</v>
      </c>
      <c r="W870" t="s">
        <v>13648</v>
      </c>
      <c r="X870" t="s">
        <v>13649</v>
      </c>
      <c r="Y870" t="s">
        <v>13650</v>
      </c>
      <c r="Z870" t="s">
        <v>13651</v>
      </c>
      <c r="AA870" t="s">
        <v>74</v>
      </c>
      <c r="AB870" t="s">
        <v>13652</v>
      </c>
      <c r="AC870" t="s">
        <v>74</v>
      </c>
      <c r="AD870" t="s">
        <v>74</v>
      </c>
      <c r="AE870" t="s">
        <v>74</v>
      </c>
      <c r="AF870" t="s">
        <v>74</v>
      </c>
      <c r="AG870">
        <v>63</v>
      </c>
      <c r="AH870">
        <v>118</v>
      </c>
      <c r="AI870">
        <v>125</v>
      </c>
      <c r="AJ870">
        <v>6</v>
      </c>
      <c r="AK870">
        <v>45</v>
      </c>
      <c r="AL870" t="s">
        <v>7239</v>
      </c>
      <c r="AM870" t="s">
        <v>5498</v>
      </c>
      <c r="AN870" t="s">
        <v>7240</v>
      </c>
      <c r="AO870" t="s">
        <v>74</v>
      </c>
      <c r="AP870" t="s">
        <v>7241</v>
      </c>
      <c r="AQ870" t="s">
        <v>74</v>
      </c>
      <c r="AR870" t="s">
        <v>7242</v>
      </c>
      <c r="AS870" t="s">
        <v>7243</v>
      </c>
      <c r="AT870" t="s">
        <v>13653</v>
      </c>
      <c r="AU870">
        <v>2006</v>
      </c>
      <c r="AV870">
        <v>7</v>
      </c>
      <c r="AW870" t="s">
        <v>74</v>
      </c>
      <c r="AX870" t="s">
        <v>74</v>
      </c>
      <c r="AY870" t="s">
        <v>74</v>
      </c>
      <c r="AZ870" t="s">
        <v>74</v>
      </c>
      <c r="BA870" t="s">
        <v>74</v>
      </c>
      <c r="BB870" t="s">
        <v>74</v>
      </c>
      <c r="BC870" t="s">
        <v>74</v>
      </c>
      <c r="BD870" t="s">
        <v>13654</v>
      </c>
      <c r="BE870" t="s">
        <v>13655</v>
      </c>
      <c r="BF870" t="str">
        <f>HYPERLINK("http://dx.doi.org/10.1029/2005GC001211","http://dx.doi.org/10.1029/2005GC001211")</f>
        <v>http://dx.doi.org/10.1029/2005GC001211</v>
      </c>
      <c r="BG870" t="s">
        <v>74</v>
      </c>
      <c r="BH870" t="s">
        <v>74</v>
      </c>
      <c r="BI870">
        <v>16</v>
      </c>
      <c r="BJ870" t="s">
        <v>865</v>
      </c>
      <c r="BK870" t="s">
        <v>97</v>
      </c>
      <c r="BL870" t="s">
        <v>865</v>
      </c>
      <c r="BM870" t="s">
        <v>13656</v>
      </c>
      <c r="BN870" t="s">
        <v>74</v>
      </c>
      <c r="BO870" t="s">
        <v>124</v>
      </c>
      <c r="BP870" t="s">
        <v>74</v>
      </c>
      <c r="BQ870" t="s">
        <v>74</v>
      </c>
      <c r="BR870" t="s">
        <v>100</v>
      </c>
      <c r="BS870" t="s">
        <v>13657</v>
      </c>
      <c r="BT870" t="str">
        <f>HYPERLINK("https%3A%2F%2Fwww.webofscience.com%2Fwos%2Fwoscc%2Ffull-record%2FWOS:000240415900001","View Full Record in Web of Science")</f>
        <v>View Full Record in Web of Science</v>
      </c>
    </row>
    <row r="871" spans="1:72" x14ac:dyDescent="0.15">
      <c r="A871" t="s">
        <v>72</v>
      </c>
      <c r="B871" t="s">
        <v>13658</v>
      </c>
      <c r="C871" t="s">
        <v>74</v>
      </c>
      <c r="D871" t="s">
        <v>74</v>
      </c>
      <c r="E871" t="s">
        <v>74</v>
      </c>
      <c r="F871" t="s">
        <v>13659</v>
      </c>
      <c r="G871" t="s">
        <v>74</v>
      </c>
      <c r="H871" t="s">
        <v>74</v>
      </c>
      <c r="I871" t="s">
        <v>13660</v>
      </c>
      <c r="J871" t="s">
        <v>13661</v>
      </c>
      <c r="K871" t="s">
        <v>74</v>
      </c>
      <c r="L871" t="s">
        <v>74</v>
      </c>
      <c r="M871" t="s">
        <v>78</v>
      </c>
      <c r="N871" t="s">
        <v>79</v>
      </c>
      <c r="O871" t="s">
        <v>74</v>
      </c>
      <c r="P871" t="s">
        <v>74</v>
      </c>
      <c r="Q871" t="s">
        <v>74</v>
      </c>
      <c r="R871" t="s">
        <v>74</v>
      </c>
      <c r="S871" t="s">
        <v>74</v>
      </c>
      <c r="T871" t="s">
        <v>74</v>
      </c>
      <c r="U871" t="s">
        <v>13662</v>
      </c>
      <c r="V871" t="s">
        <v>13663</v>
      </c>
      <c r="W871" t="s">
        <v>13664</v>
      </c>
      <c r="X871" t="s">
        <v>13665</v>
      </c>
      <c r="Y871" t="s">
        <v>13666</v>
      </c>
      <c r="Z871" t="s">
        <v>74</v>
      </c>
      <c r="AA871" t="s">
        <v>13667</v>
      </c>
      <c r="AB871" t="s">
        <v>74</v>
      </c>
      <c r="AC871" t="s">
        <v>74</v>
      </c>
      <c r="AD871" t="s">
        <v>74</v>
      </c>
      <c r="AE871" t="s">
        <v>74</v>
      </c>
      <c r="AF871" t="s">
        <v>74</v>
      </c>
      <c r="AG871">
        <v>29</v>
      </c>
      <c r="AH871">
        <v>18</v>
      </c>
      <c r="AI871">
        <v>18</v>
      </c>
      <c r="AJ871">
        <v>0</v>
      </c>
      <c r="AK871">
        <v>17</v>
      </c>
      <c r="AL871" t="s">
        <v>13668</v>
      </c>
      <c r="AM871" t="s">
        <v>2148</v>
      </c>
      <c r="AN871" t="s">
        <v>13669</v>
      </c>
      <c r="AO871" t="s">
        <v>13670</v>
      </c>
      <c r="AP871" t="s">
        <v>74</v>
      </c>
      <c r="AQ871" t="s">
        <v>74</v>
      </c>
      <c r="AR871" t="s">
        <v>13671</v>
      </c>
      <c r="AS871" t="s">
        <v>13672</v>
      </c>
      <c r="AT871" t="s">
        <v>13673</v>
      </c>
      <c r="AU871">
        <v>2006</v>
      </c>
      <c r="AV871">
        <v>22</v>
      </c>
      <c r="AW871">
        <v>9</v>
      </c>
      <c r="AX871" t="s">
        <v>74</v>
      </c>
      <c r="AY871" t="s">
        <v>74</v>
      </c>
      <c r="AZ871" t="s">
        <v>74</v>
      </c>
      <c r="BA871" t="s">
        <v>74</v>
      </c>
      <c r="BB871">
        <v>1175</v>
      </c>
      <c r="BC871">
        <v>1178</v>
      </c>
      <c r="BD871" t="s">
        <v>74</v>
      </c>
      <c r="BE871" t="s">
        <v>13674</v>
      </c>
      <c r="BF871" t="str">
        <f>HYPERLINK("http://dx.doi.org/10.2116/analsci.22.1175","http://dx.doi.org/10.2116/analsci.22.1175")</f>
        <v>http://dx.doi.org/10.2116/analsci.22.1175</v>
      </c>
      <c r="BG871" t="s">
        <v>74</v>
      </c>
      <c r="BH871" t="s">
        <v>74</v>
      </c>
      <c r="BI871">
        <v>4</v>
      </c>
      <c r="BJ871" t="s">
        <v>844</v>
      </c>
      <c r="BK871" t="s">
        <v>97</v>
      </c>
      <c r="BL871" t="s">
        <v>335</v>
      </c>
      <c r="BM871" t="s">
        <v>13675</v>
      </c>
      <c r="BN871">
        <v>16966805</v>
      </c>
      <c r="BO871" t="s">
        <v>74</v>
      </c>
      <c r="BP871" t="s">
        <v>74</v>
      </c>
      <c r="BQ871" t="s">
        <v>74</v>
      </c>
      <c r="BR871" t="s">
        <v>100</v>
      </c>
      <c r="BS871" t="s">
        <v>13676</v>
      </c>
      <c r="BT871" t="str">
        <f>HYPERLINK("https%3A%2F%2Fwww.webofscience.com%2Fwos%2Fwoscc%2Ffull-record%2FWOS:000240669500004","View Full Record in Web of Science")</f>
        <v>View Full Record in Web of Science</v>
      </c>
    </row>
    <row r="872" spans="1:72" x14ac:dyDescent="0.15">
      <c r="A872" t="s">
        <v>72</v>
      </c>
      <c r="B872" t="s">
        <v>13677</v>
      </c>
      <c r="C872" t="s">
        <v>74</v>
      </c>
      <c r="D872" t="s">
        <v>74</v>
      </c>
      <c r="E872" t="s">
        <v>74</v>
      </c>
      <c r="F872" t="s">
        <v>13678</v>
      </c>
      <c r="G872" t="s">
        <v>74</v>
      </c>
      <c r="H872" t="s">
        <v>74</v>
      </c>
      <c r="I872" t="s">
        <v>13679</v>
      </c>
      <c r="J872" t="s">
        <v>7998</v>
      </c>
      <c r="K872" t="s">
        <v>74</v>
      </c>
      <c r="L872" t="s">
        <v>74</v>
      </c>
      <c r="M872" t="s">
        <v>78</v>
      </c>
      <c r="N872" t="s">
        <v>1431</v>
      </c>
      <c r="O872" t="s">
        <v>74</v>
      </c>
      <c r="P872" t="s">
        <v>74</v>
      </c>
      <c r="Q872" t="s">
        <v>74</v>
      </c>
      <c r="R872" t="s">
        <v>74</v>
      </c>
      <c r="S872" t="s">
        <v>74</v>
      </c>
      <c r="T872" t="s">
        <v>74</v>
      </c>
      <c r="U872" t="s">
        <v>74</v>
      </c>
      <c r="V872" t="s">
        <v>74</v>
      </c>
      <c r="W872" t="s">
        <v>74</v>
      </c>
      <c r="X872" t="s">
        <v>74</v>
      </c>
      <c r="Y872" t="s">
        <v>74</v>
      </c>
      <c r="Z872" t="s">
        <v>74</v>
      </c>
      <c r="AA872" t="s">
        <v>74</v>
      </c>
      <c r="AB872" t="s">
        <v>13680</v>
      </c>
      <c r="AC872" t="s">
        <v>13681</v>
      </c>
      <c r="AD872" t="s">
        <v>158</v>
      </c>
      <c r="AE872" t="s">
        <v>74</v>
      </c>
      <c r="AF872" t="s">
        <v>74</v>
      </c>
      <c r="AG872">
        <v>0</v>
      </c>
      <c r="AH872">
        <v>0</v>
      </c>
      <c r="AI872">
        <v>0</v>
      </c>
      <c r="AJ872">
        <v>0</v>
      </c>
      <c r="AK872">
        <v>1</v>
      </c>
      <c r="AL872" t="s">
        <v>221</v>
      </c>
      <c r="AM872" t="s">
        <v>678</v>
      </c>
      <c r="AN872" t="s">
        <v>2692</v>
      </c>
      <c r="AO872" t="s">
        <v>8000</v>
      </c>
      <c r="AP872" t="s">
        <v>74</v>
      </c>
      <c r="AQ872" t="s">
        <v>74</v>
      </c>
      <c r="AR872" t="s">
        <v>8001</v>
      </c>
      <c r="AS872" t="s">
        <v>8002</v>
      </c>
      <c r="AT872" t="s">
        <v>13673</v>
      </c>
      <c r="AU872">
        <v>2006</v>
      </c>
      <c r="AV872">
        <v>18</v>
      </c>
      <c r="AW872">
        <v>3</v>
      </c>
      <c r="AX872" t="s">
        <v>74</v>
      </c>
      <c r="AY872" t="s">
        <v>74</v>
      </c>
      <c r="AZ872" t="s">
        <v>74</v>
      </c>
      <c r="BA872" t="s">
        <v>74</v>
      </c>
      <c r="BB872">
        <v>289</v>
      </c>
      <c r="BC872">
        <v>289</v>
      </c>
      <c r="BD872" t="s">
        <v>74</v>
      </c>
      <c r="BE872" t="s">
        <v>13682</v>
      </c>
      <c r="BF872" t="str">
        <f>HYPERLINK("http://dx.doi.org/10.1017/S0954102006000332","http://dx.doi.org/10.1017/S0954102006000332")</f>
        <v>http://dx.doi.org/10.1017/S0954102006000332</v>
      </c>
      <c r="BG872" t="s">
        <v>74</v>
      </c>
      <c r="BH872" t="s">
        <v>74</v>
      </c>
      <c r="BI872">
        <v>1</v>
      </c>
      <c r="BJ872" t="s">
        <v>3377</v>
      </c>
      <c r="BK872" t="s">
        <v>97</v>
      </c>
      <c r="BL872" t="s">
        <v>3378</v>
      </c>
      <c r="BM872" t="s">
        <v>13683</v>
      </c>
      <c r="BN872" t="s">
        <v>74</v>
      </c>
      <c r="BO872" t="s">
        <v>124</v>
      </c>
      <c r="BP872" t="s">
        <v>74</v>
      </c>
      <c r="BQ872" t="s">
        <v>74</v>
      </c>
      <c r="BR872" t="s">
        <v>100</v>
      </c>
      <c r="BS872" t="s">
        <v>13684</v>
      </c>
      <c r="BT872" t="str">
        <f>HYPERLINK("https%3A%2F%2Fwww.webofscience.com%2Fwos%2Fwoscc%2Ffull-record%2FWOS:000240606500001","View Full Record in Web of Science")</f>
        <v>View Full Record in Web of Science</v>
      </c>
    </row>
    <row r="873" spans="1:72" x14ac:dyDescent="0.15">
      <c r="A873" t="s">
        <v>72</v>
      </c>
      <c r="B873" t="s">
        <v>13685</v>
      </c>
      <c r="C873" t="s">
        <v>74</v>
      </c>
      <c r="D873" t="s">
        <v>74</v>
      </c>
      <c r="E873" t="s">
        <v>74</v>
      </c>
      <c r="F873" t="s">
        <v>13686</v>
      </c>
      <c r="G873" t="s">
        <v>74</v>
      </c>
      <c r="H873" t="s">
        <v>74</v>
      </c>
      <c r="I873" t="s">
        <v>13687</v>
      </c>
      <c r="J873" t="s">
        <v>7998</v>
      </c>
      <c r="K873" t="s">
        <v>74</v>
      </c>
      <c r="L873" t="s">
        <v>74</v>
      </c>
      <c r="M873" t="s">
        <v>78</v>
      </c>
      <c r="N873" t="s">
        <v>79</v>
      </c>
      <c r="O873" t="s">
        <v>74</v>
      </c>
      <c r="P873" t="s">
        <v>74</v>
      </c>
      <c r="Q873" t="s">
        <v>74</v>
      </c>
      <c r="R873" t="s">
        <v>74</v>
      </c>
      <c r="S873" t="s">
        <v>74</v>
      </c>
      <c r="T873" t="s">
        <v>13688</v>
      </c>
      <c r="U873" t="s">
        <v>13689</v>
      </c>
      <c r="V873" t="s">
        <v>13690</v>
      </c>
      <c r="W873" t="s">
        <v>13691</v>
      </c>
      <c r="X873" t="s">
        <v>13692</v>
      </c>
      <c r="Y873" t="s">
        <v>13693</v>
      </c>
      <c r="Z873" t="s">
        <v>13694</v>
      </c>
      <c r="AA873" t="s">
        <v>74</v>
      </c>
      <c r="AB873" t="s">
        <v>74</v>
      </c>
      <c r="AC873" t="s">
        <v>74</v>
      </c>
      <c r="AD873" t="s">
        <v>74</v>
      </c>
      <c r="AE873" t="s">
        <v>74</v>
      </c>
      <c r="AF873" t="s">
        <v>74</v>
      </c>
      <c r="AG873">
        <v>34</v>
      </c>
      <c r="AH873">
        <v>20</v>
      </c>
      <c r="AI873">
        <v>31</v>
      </c>
      <c r="AJ873">
        <v>0</v>
      </c>
      <c r="AK873">
        <v>4</v>
      </c>
      <c r="AL873" t="s">
        <v>221</v>
      </c>
      <c r="AM873" t="s">
        <v>678</v>
      </c>
      <c r="AN873" t="s">
        <v>2692</v>
      </c>
      <c r="AO873" t="s">
        <v>8000</v>
      </c>
      <c r="AP873" t="s">
        <v>8016</v>
      </c>
      <c r="AQ873" t="s">
        <v>74</v>
      </c>
      <c r="AR873" t="s">
        <v>8001</v>
      </c>
      <c r="AS873" t="s">
        <v>8002</v>
      </c>
      <c r="AT873" t="s">
        <v>13673</v>
      </c>
      <c r="AU873">
        <v>2006</v>
      </c>
      <c r="AV873">
        <v>18</v>
      </c>
      <c r="AW873">
        <v>3</v>
      </c>
      <c r="AX873" t="s">
        <v>74</v>
      </c>
      <c r="AY873" t="s">
        <v>74</v>
      </c>
      <c r="AZ873" t="s">
        <v>74</v>
      </c>
      <c r="BA873" t="s">
        <v>74</v>
      </c>
      <c r="BB873">
        <v>291</v>
      </c>
      <c r="BC873">
        <v>301</v>
      </c>
      <c r="BD873" t="s">
        <v>74</v>
      </c>
      <c r="BE873" t="s">
        <v>13695</v>
      </c>
      <c r="BF873" t="str">
        <f>HYPERLINK("http://dx.doi.org/10.1017/S0954102006000344","http://dx.doi.org/10.1017/S0954102006000344")</f>
        <v>http://dx.doi.org/10.1017/S0954102006000344</v>
      </c>
      <c r="BG873" t="s">
        <v>74</v>
      </c>
      <c r="BH873" t="s">
        <v>74</v>
      </c>
      <c r="BI873">
        <v>11</v>
      </c>
      <c r="BJ873" t="s">
        <v>3377</v>
      </c>
      <c r="BK873" t="s">
        <v>97</v>
      </c>
      <c r="BL873" t="s">
        <v>3378</v>
      </c>
      <c r="BM873" t="s">
        <v>13683</v>
      </c>
      <c r="BN873" t="s">
        <v>74</v>
      </c>
      <c r="BO873" t="s">
        <v>74</v>
      </c>
      <c r="BP873" t="s">
        <v>74</v>
      </c>
      <c r="BQ873" t="s">
        <v>74</v>
      </c>
      <c r="BR873" t="s">
        <v>100</v>
      </c>
      <c r="BS873" t="s">
        <v>13696</v>
      </c>
      <c r="BT873" t="str">
        <f>HYPERLINK("https%3A%2F%2Fwww.webofscience.com%2Fwos%2Fwoscc%2Ffull-record%2FWOS:000240606500002","View Full Record in Web of Science")</f>
        <v>View Full Record in Web of Science</v>
      </c>
    </row>
    <row r="874" spans="1:72" x14ac:dyDescent="0.15">
      <c r="A874" t="s">
        <v>72</v>
      </c>
      <c r="B874" t="s">
        <v>13697</v>
      </c>
      <c r="C874" t="s">
        <v>74</v>
      </c>
      <c r="D874" t="s">
        <v>74</v>
      </c>
      <c r="E874" t="s">
        <v>74</v>
      </c>
      <c r="F874" t="s">
        <v>13698</v>
      </c>
      <c r="G874" t="s">
        <v>74</v>
      </c>
      <c r="H874" t="s">
        <v>74</v>
      </c>
      <c r="I874" t="s">
        <v>13699</v>
      </c>
      <c r="J874" t="s">
        <v>7998</v>
      </c>
      <c r="K874" t="s">
        <v>74</v>
      </c>
      <c r="L874" t="s">
        <v>74</v>
      </c>
      <c r="M874" t="s">
        <v>78</v>
      </c>
      <c r="N874" t="s">
        <v>79</v>
      </c>
      <c r="O874" t="s">
        <v>74</v>
      </c>
      <c r="P874" t="s">
        <v>74</v>
      </c>
      <c r="Q874" t="s">
        <v>74</v>
      </c>
      <c r="R874" t="s">
        <v>74</v>
      </c>
      <c r="S874" t="s">
        <v>74</v>
      </c>
      <c r="T874" t="s">
        <v>13700</v>
      </c>
      <c r="U874" t="s">
        <v>13701</v>
      </c>
      <c r="V874" t="s">
        <v>13702</v>
      </c>
      <c r="W874" t="s">
        <v>13703</v>
      </c>
      <c r="X874" t="s">
        <v>13704</v>
      </c>
      <c r="Y874" t="s">
        <v>13705</v>
      </c>
      <c r="Z874" t="s">
        <v>13706</v>
      </c>
      <c r="AA874" t="s">
        <v>13707</v>
      </c>
      <c r="AB874" t="s">
        <v>13708</v>
      </c>
      <c r="AC874" t="s">
        <v>74</v>
      </c>
      <c r="AD874" t="s">
        <v>74</v>
      </c>
      <c r="AE874" t="s">
        <v>74</v>
      </c>
      <c r="AF874" t="s">
        <v>74</v>
      </c>
      <c r="AG874">
        <v>45</v>
      </c>
      <c r="AH874">
        <v>28</v>
      </c>
      <c r="AI874">
        <v>29</v>
      </c>
      <c r="AJ874">
        <v>4</v>
      </c>
      <c r="AK874">
        <v>14</v>
      </c>
      <c r="AL874" t="s">
        <v>221</v>
      </c>
      <c r="AM874" t="s">
        <v>678</v>
      </c>
      <c r="AN874" t="s">
        <v>2692</v>
      </c>
      <c r="AO874" t="s">
        <v>8000</v>
      </c>
      <c r="AP874" t="s">
        <v>8016</v>
      </c>
      <c r="AQ874" t="s">
        <v>74</v>
      </c>
      <c r="AR874" t="s">
        <v>8001</v>
      </c>
      <c r="AS874" t="s">
        <v>8002</v>
      </c>
      <c r="AT874" t="s">
        <v>13673</v>
      </c>
      <c r="AU874">
        <v>2006</v>
      </c>
      <c r="AV874">
        <v>18</v>
      </c>
      <c r="AW874">
        <v>3</v>
      </c>
      <c r="AX874" t="s">
        <v>74</v>
      </c>
      <c r="AY874" t="s">
        <v>74</v>
      </c>
      <c r="AZ874" t="s">
        <v>74</v>
      </c>
      <c r="BA874" t="s">
        <v>74</v>
      </c>
      <c r="BB874">
        <v>303</v>
      </c>
      <c r="BC874">
        <v>312</v>
      </c>
      <c r="BD874" t="s">
        <v>74</v>
      </c>
      <c r="BE874" t="s">
        <v>13709</v>
      </c>
      <c r="BF874" t="str">
        <f>HYPERLINK("http://dx.doi.org/10.1017/S0954102006000356","http://dx.doi.org/10.1017/S0954102006000356")</f>
        <v>http://dx.doi.org/10.1017/S0954102006000356</v>
      </c>
      <c r="BG874" t="s">
        <v>74</v>
      </c>
      <c r="BH874" t="s">
        <v>74</v>
      </c>
      <c r="BI874">
        <v>10</v>
      </c>
      <c r="BJ874" t="s">
        <v>3377</v>
      </c>
      <c r="BK874" t="s">
        <v>97</v>
      </c>
      <c r="BL874" t="s">
        <v>3378</v>
      </c>
      <c r="BM874" t="s">
        <v>13683</v>
      </c>
      <c r="BN874" t="s">
        <v>74</v>
      </c>
      <c r="BO874" t="s">
        <v>74</v>
      </c>
      <c r="BP874" t="s">
        <v>74</v>
      </c>
      <c r="BQ874" t="s">
        <v>74</v>
      </c>
      <c r="BR874" t="s">
        <v>100</v>
      </c>
      <c r="BS874" t="s">
        <v>13710</v>
      </c>
      <c r="BT874" t="str">
        <f>HYPERLINK("https%3A%2F%2Fwww.webofscience.com%2Fwos%2Fwoscc%2Ffull-record%2FWOS:000240606500003","View Full Record in Web of Science")</f>
        <v>View Full Record in Web of Science</v>
      </c>
    </row>
    <row r="875" spans="1:72" x14ac:dyDescent="0.15">
      <c r="A875" t="s">
        <v>72</v>
      </c>
      <c r="B875" t="s">
        <v>13711</v>
      </c>
      <c r="C875" t="s">
        <v>74</v>
      </c>
      <c r="D875" t="s">
        <v>74</v>
      </c>
      <c r="E875" t="s">
        <v>74</v>
      </c>
      <c r="F875" t="s">
        <v>13712</v>
      </c>
      <c r="G875" t="s">
        <v>74</v>
      </c>
      <c r="H875" t="s">
        <v>74</v>
      </c>
      <c r="I875" t="s">
        <v>13713</v>
      </c>
      <c r="J875" t="s">
        <v>7998</v>
      </c>
      <c r="K875" t="s">
        <v>74</v>
      </c>
      <c r="L875" t="s">
        <v>74</v>
      </c>
      <c r="M875" t="s">
        <v>78</v>
      </c>
      <c r="N875" t="s">
        <v>79</v>
      </c>
      <c r="O875" t="s">
        <v>74</v>
      </c>
      <c r="P875" t="s">
        <v>74</v>
      </c>
      <c r="Q875" t="s">
        <v>74</v>
      </c>
      <c r="R875" t="s">
        <v>74</v>
      </c>
      <c r="S875" t="s">
        <v>74</v>
      </c>
      <c r="T875" t="s">
        <v>13714</v>
      </c>
      <c r="U875" t="s">
        <v>13715</v>
      </c>
      <c r="V875" t="s">
        <v>13716</v>
      </c>
      <c r="W875" t="s">
        <v>13717</v>
      </c>
      <c r="X875" t="s">
        <v>13718</v>
      </c>
      <c r="Y875" t="s">
        <v>13115</v>
      </c>
      <c r="Z875" t="s">
        <v>13116</v>
      </c>
      <c r="AA875" t="s">
        <v>74</v>
      </c>
      <c r="AB875" t="s">
        <v>74</v>
      </c>
      <c r="AC875" t="s">
        <v>74</v>
      </c>
      <c r="AD875" t="s">
        <v>74</v>
      </c>
      <c r="AE875" t="s">
        <v>74</v>
      </c>
      <c r="AF875" t="s">
        <v>74</v>
      </c>
      <c r="AG875">
        <v>36</v>
      </c>
      <c r="AH875">
        <v>23</v>
      </c>
      <c r="AI875">
        <v>32</v>
      </c>
      <c r="AJ875">
        <v>1</v>
      </c>
      <c r="AK875">
        <v>14</v>
      </c>
      <c r="AL875" t="s">
        <v>221</v>
      </c>
      <c r="AM875" t="s">
        <v>678</v>
      </c>
      <c r="AN875" t="s">
        <v>2692</v>
      </c>
      <c r="AO875" t="s">
        <v>8000</v>
      </c>
      <c r="AP875" t="s">
        <v>8016</v>
      </c>
      <c r="AQ875" t="s">
        <v>74</v>
      </c>
      <c r="AR875" t="s">
        <v>8001</v>
      </c>
      <c r="AS875" t="s">
        <v>8002</v>
      </c>
      <c r="AT875" t="s">
        <v>13673</v>
      </c>
      <c r="AU875">
        <v>2006</v>
      </c>
      <c r="AV875">
        <v>18</v>
      </c>
      <c r="AW875">
        <v>3</v>
      </c>
      <c r="AX875" t="s">
        <v>74</v>
      </c>
      <c r="AY875" t="s">
        <v>74</v>
      </c>
      <c r="AZ875" t="s">
        <v>74</v>
      </c>
      <c r="BA875" t="s">
        <v>74</v>
      </c>
      <c r="BB875">
        <v>313</v>
      </c>
      <c r="BC875">
        <v>321</v>
      </c>
      <c r="BD875" t="s">
        <v>74</v>
      </c>
      <c r="BE875" t="s">
        <v>13719</v>
      </c>
      <c r="BF875" t="str">
        <f>HYPERLINK("http://dx.doi.org/10.1017/S0954102006000368","http://dx.doi.org/10.1017/S0954102006000368")</f>
        <v>http://dx.doi.org/10.1017/S0954102006000368</v>
      </c>
      <c r="BG875" t="s">
        <v>74</v>
      </c>
      <c r="BH875" t="s">
        <v>74</v>
      </c>
      <c r="BI875">
        <v>9</v>
      </c>
      <c r="BJ875" t="s">
        <v>3377</v>
      </c>
      <c r="BK875" t="s">
        <v>97</v>
      </c>
      <c r="BL875" t="s">
        <v>3378</v>
      </c>
      <c r="BM875" t="s">
        <v>13683</v>
      </c>
      <c r="BN875" t="s">
        <v>74</v>
      </c>
      <c r="BO875" t="s">
        <v>74</v>
      </c>
      <c r="BP875" t="s">
        <v>74</v>
      </c>
      <c r="BQ875" t="s">
        <v>74</v>
      </c>
      <c r="BR875" t="s">
        <v>100</v>
      </c>
      <c r="BS875" t="s">
        <v>13720</v>
      </c>
      <c r="BT875" t="str">
        <f>HYPERLINK("https%3A%2F%2Fwww.webofscience.com%2Fwos%2Fwoscc%2Ffull-record%2FWOS:000240606500004","View Full Record in Web of Science")</f>
        <v>View Full Record in Web of Science</v>
      </c>
    </row>
    <row r="876" spans="1:72" x14ac:dyDescent="0.15">
      <c r="A876" t="s">
        <v>72</v>
      </c>
      <c r="B876" t="s">
        <v>13721</v>
      </c>
      <c r="C876" t="s">
        <v>74</v>
      </c>
      <c r="D876" t="s">
        <v>74</v>
      </c>
      <c r="E876" t="s">
        <v>74</v>
      </c>
      <c r="F876" t="s">
        <v>13722</v>
      </c>
      <c r="G876" t="s">
        <v>74</v>
      </c>
      <c r="H876" t="s">
        <v>74</v>
      </c>
      <c r="I876" t="s">
        <v>13723</v>
      </c>
      <c r="J876" t="s">
        <v>7998</v>
      </c>
      <c r="K876" t="s">
        <v>74</v>
      </c>
      <c r="L876" t="s">
        <v>74</v>
      </c>
      <c r="M876" t="s">
        <v>78</v>
      </c>
      <c r="N876" t="s">
        <v>79</v>
      </c>
      <c r="O876" t="s">
        <v>74</v>
      </c>
      <c r="P876" t="s">
        <v>74</v>
      </c>
      <c r="Q876" t="s">
        <v>74</v>
      </c>
      <c r="R876" t="s">
        <v>74</v>
      </c>
      <c r="S876" t="s">
        <v>74</v>
      </c>
      <c r="T876" t="s">
        <v>13724</v>
      </c>
      <c r="U876" t="s">
        <v>13725</v>
      </c>
      <c r="V876" t="s">
        <v>13726</v>
      </c>
      <c r="W876" t="s">
        <v>13727</v>
      </c>
      <c r="X876" t="s">
        <v>13728</v>
      </c>
      <c r="Y876" t="s">
        <v>13729</v>
      </c>
      <c r="Z876" t="s">
        <v>8122</v>
      </c>
      <c r="AA876" t="s">
        <v>8123</v>
      </c>
      <c r="AB876" t="s">
        <v>8124</v>
      </c>
      <c r="AC876" t="s">
        <v>13310</v>
      </c>
      <c r="AD876" t="s">
        <v>158</v>
      </c>
      <c r="AE876" t="s">
        <v>74</v>
      </c>
      <c r="AF876" t="s">
        <v>74</v>
      </c>
      <c r="AG876">
        <v>62</v>
      </c>
      <c r="AH876">
        <v>59</v>
      </c>
      <c r="AI876">
        <v>65</v>
      </c>
      <c r="AJ876">
        <v>0</v>
      </c>
      <c r="AK876">
        <v>33</v>
      </c>
      <c r="AL876" t="s">
        <v>221</v>
      </c>
      <c r="AM876" t="s">
        <v>678</v>
      </c>
      <c r="AN876" t="s">
        <v>2692</v>
      </c>
      <c r="AO876" t="s">
        <v>8000</v>
      </c>
      <c r="AP876" t="s">
        <v>8016</v>
      </c>
      <c r="AQ876" t="s">
        <v>74</v>
      </c>
      <c r="AR876" t="s">
        <v>8001</v>
      </c>
      <c r="AS876" t="s">
        <v>8002</v>
      </c>
      <c r="AT876" t="s">
        <v>13673</v>
      </c>
      <c r="AU876">
        <v>2006</v>
      </c>
      <c r="AV876">
        <v>18</v>
      </c>
      <c r="AW876">
        <v>3</v>
      </c>
      <c r="AX876" t="s">
        <v>74</v>
      </c>
      <c r="AY876" t="s">
        <v>74</v>
      </c>
      <c r="AZ876" t="s">
        <v>74</v>
      </c>
      <c r="BA876" t="s">
        <v>74</v>
      </c>
      <c r="BB876">
        <v>323</v>
      </c>
      <c r="BC876">
        <v>333</v>
      </c>
      <c r="BD876" t="s">
        <v>74</v>
      </c>
      <c r="BE876" t="s">
        <v>13730</v>
      </c>
      <c r="BF876" t="str">
        <f>HYPERLINK("http://dx.doi.org/10.1017/S095410200600037X","http://dx.doi.org/10.1017/S095410200600037X")</f>
        <v>http://dx.doi.org/10.1017/S095410200600037X</v>
      </c>
      <c r="BG876" t="s">
        <v>74</v>
      </c>
      <c r="BH876" t="s">
        <v>74</v>
      </c>
      <c r="BI876">
        <v>11</v>
      </c>
      <c r="BJ876" t="s">
        <v>3377</v>
      </c>
      <c r="BK876" t="s">
        <v>97</v>
      </c>
      <c r="BL876" t="s">
        <v>3378</v>
      </c>
      <c r="BM876" t="s">
        <v>13683</v>
      </c>
      <c r="BN876" t="s">
        <v>74</v>
      </c>
      <c r="BO876" t="s">
        <v>74</v>
      </c>
      <c r="BP876" t="s">
        <v>74</v>
      </c>
      <c r="BQ876" t="s">
        <v>74</v>
      </c>
      <c r="BR876" t="s">
        <v>100</v>
      </c>
      <c r="BS876" t="s">
        <v>13731</v>
      </c>
      <c r="BT876" t="str">
        <f>HYPERLINK("https%3A%2F%2Fwww.webofscience.com%2Fwos%2Fwoscc%2Ffull-record%2FWOS:000240606500005","View Full Record in Web of Science")</f>
        <v>View Full Record in Web of Science</v>
      </c>
    </row>
    <row r="877" spans="1:72" x14ac:dyDescent="0.15">
      <c r="A877" t="s">
        <v>72</v>
      </c>
      <c r="B877" t="s">
        <v>13732</v>
      </c>
      <c r="C877" t="s">
        <v>74</v>
      </c>
      <c r="D877" t="s">
        <v>74</v>
      </c>
      <c r="E877" t="s">
        <v>74</v>
      </c>
      <c r="F877" t="s">
        <v>13733</v>
      </c>
      <c r="G877" t="s">
        <v>74</v>
      </c>
      <c r="H877" t="s">
        <v>74</v>
      </c>
      <c r="I877" t="s">
        <v>13734</v>
      </c>
      <c r="J877" t="s">
        <v>7998</v>
      </c>
      <c r="K877" t="s">
        <v>74</v>
      </c>
      <c r="L877" t="s">
        <v>74</v>
      </c>
      <c r="M877" t="s">
        <v>78</v>
      </c>
      <c r="N877" t="s">
        <v>79</v>
      </c>
      <c r="O877" t="s">
        <v>74</v>
      </c>
      <c r="P877" t="s">
        <v>74</v>
      </c>
      <c r="Q877" t="s">
        <v>74</v>
      </c>
      <c r="R877" t="s">
        <v>74</v>
      </c>
      <c r="S877" t="s">
        <v>74</v>
      </c>
      <c r="T877" t="s">
        <v>13735</v>
      </c>
      <c r="U877" t="s">
        <v>13736</v>
      </c>
      <c r="V877" t="s">
        <v>13737</v>
      </c>
      <c r="W877" t="s">
        <v>13738</v>
      </c>
      <c r="X877" t="s">
        <v>13739</v>
      </c>
      <c r="Y877" t="s">
        <v>13740</v>
      </c>
      <c r="Z877" t="s">
        <v>13741</v>
      </c>
      <c r="AA877" t="s">
        <v>13742</v>
      </c>
      <c r="AB877" t="s">
        <v>13743</v>
      </c>
      <c r="AC877" t="s">
        <v>74</v>
      </c>
      <c r="AD877" t="s">
        <v>74</v>
      </c>
      <c r="AE877" t="s">
        <v>74</v>
      </c>
      <c r="AF877" t="s">
        <v>74</v>
      </c>
      <c r="AG877">
        <v>50</v>
      </c>
      <c r="AH877">
        <v>13</v>
      </c>
      <c r="AI877">
        <v>14</v>
      </c>
      <c r="AJ877">
        <v>1</v>
      </c>
      <c r="AK877">
        <v>8</v>
      </c>
      <c r="AL877" t="s">
        <v>221</v>
      </c>
      <c r="AM877" t="s">
        <v>678</v>
      </c>
      <c r="AN877" t="s">
        <v>2692</v>
      </c>
      <c r="AO877" t="s">
        <v>8000</v>
      </c>
      <c r="AP877" t="s">
        <v>8016</v>
      </c>
      <c r="AQ877" t="s">
        <v>74</v>
      </c>
      <c r="AR877" t="s">
        <v>8001</v>
      </c>
      <c r="AS877" t="s">
        <v>8002</v>
      </c>
      <c r="AT877" t="s">
        <v>13673</v>
      </c>
      <c r="AU877">
        <v>2006</v>
      </c>
      <c r="AV877">
        <v>18</v>
      </c>
      <c r="AW877">
        <v>3</v>
      </c>
      <c r="AX877" t="s">
        <v>74</v>
      </c>
      <c r="AY877" t="s">
        <v>74</v>
      </c>
      <c r="AZ877" t="s">
        <v>74</v>
      </c>
      <c r="BA877" t="s">
        <v>74</v>
      </c>
      <c r="BB877">
        <v>335</v>
      </c>
      <c r="BC877">
        <v>343</v>
      </c>
      <c r="BD877" t="s">
        <v>74</v>
      </c>
      <c r="BE877" t="s">
        <v>13744</v>
      </c>
      <c r="BF877" t="str">
        <f>HYPERLINK("http://dx.doi.org/10.1017/S0954102006000381","http://dx.doi.org/10.1017/S0954102006000381")</f>
        <v>http://dx.doi.org/10.1017/S0954102006000381</v>
      </c>
      <c r="BG877" t="s">
        <v>74</v>
      </c>
      <c r="BH877" t="s">
        <v>74</v>
      </c>
      <c r="BI877">
        <v>9</v>
      </c>
      <c r="BJ877" t="s">
        <v>3377</v>
      </c>
      <c r="BK877" t="s">
        <v>97</v>
      </c>
      <c r="BL877" t="s">
        <v>3378</v>
      </c>
      <c r="BM877" t="s">
        <v>13683</v>
      </c>
      <c r="BN877" t="s">
        <v>74</v>
      </c>
      <c r="BO877" t="s">
        <v>74</v>
      </c>
      <c r="BP877" t="s">
        <v>74</v>
      </c>
      <c r="BQ877" t="s">
        <v>74</v>
      </c>
      <c r="BR877" t="s">
        <v>100</v>
      </c>
      <c r="BS877" t="s">
        <v>13745</v>
      </c>
      <c r="BT877" t="str">
        <f>HYPERLINK("https%3A%2F%2Fwww.webofscience.com%2Fwos%2Fwoscc%2Ffull-record%2FWOS:000240606500006","View Full Record in Web of Science")</f>
        <v>View Full Record in Web of Science</v>
      </c>
    </row>
    <row r="878" spans="1:72" x14ac:dyDescent="0.15">
      <c r="A878" t="s">
        <v>72</v>
      </c>
      <c r="B878" t="s">
        <v>13746</v>
      </c>
      <c r="C878" t="s">
        <v>74</v>
      </c>
      <c r="D878" t="s">
        <v>74</v>
      </c>
      <c r="E878" t="s">
        <v>74</v>
      </c>
      <c r="F878" t="s">
        <v>13747</v>
      </c>
      <c r="G878" t="s">
        <v>74</v>
      </c>
      <c r="H878" t="s">
        <v>74</v>
      </c>
      <c r="I878" t="s">
        <v>13748</v>
      </c>
      <c r="J878" t="s">
        <v>7998</v>
      </c>
      <c r="K878" t="s">
        <v>74</v>
      </c>
      <c r="L878" t="s">
        <v>74</v>
      </c>
      <c r="M878" t="s">
        <v>78</v>
      </c>
      <c r="N878" t="s">
        <v>79</v>
      </c>
      <c r="O878" t="s">
        <v>74</v>
      </c>
      <c r="P878" t="s">
        <v>74</v>
      </c>
      <c r="Q878" t="s">
        <v>74</v>
      </c>
      <c r="R878" t="s">
        <v>74</v>
      </c>
      <c r="S878" t="s">
        <v>74</v>
      </c>
      <c r="T878" t="s">
        <v>13749</v>
      </c>
      <c r="U878" t="s">
        <v>13750</v>
      </c>
      <c r="V878" t="s">
        <v>13751</v>
      </c>
      <c r="W878" t="s">
        <v>13752</v>
      </c>
      <c r="X878" t="s">
        <v>13753</v>
      </c>
      <c r="Y878" t="s">
        <v>13754</v>
      </c>
      <c r="Z878" t="s">
        <v>13755</v>
      </c>
      <c r="AA878" t="s">
        <v>13756</v>
      </c>
      <c r="AB878" t="s">
        <v>13757</v>
      </c>
      <c r="AC878" t="s">
        <v>74</v>
      </c>
      <c r="AD878" t="s">
        <v>74</v>
      </c>
      <c r="AE878" t="s">
        <v>74</v>
      </c>
      <c r="AF878" t="s">
        <v>74</v>
      </c>
      <c r="AG878">
        <v>53</v>
      </c>
      <c r="AH878">
        <v>11</v>
      </c>
      <c r="AI878">
        <v>13</v>
      </c>
      <c r="AJ878">
        <v>1</v>
      </c>
      <c r="AK878">
        <v>9</v>
      </c>
      <c r="AL878" t="s">
        <v>221</v>
      </c>
      <c r="AM878" t="s">
        <v>678</v>
      </c>
      <c r="AN878" t="s">
        <v>2692</v>
      </c>
      <c r="AO878" t="s">
        <v>8000</v>
      </c>
      <c r="AP878" t="s">
        <v>8016</v>
      </c>
      <c r="AQ878" t="s">
        <v>74</v>
      </c>
      <c r="AR878" t="s">
        <v>8001</v>
      </c>
      <c r="AS878" t="s">
        <v>8002</v>
      </c>
      <c r="AT878" t="s">
        <v>13673</v>
      </c>
      <c r="AU878">
        <v>2006</v>
      </c>
      <c r="AV878">
        <v>18</v>
      </c>
      <c r="AW878">
        <v>3</v>
      </c>
      <c r="AX878" t="s">
        <v>74</v>
      </c>
      <c r="AY878" t="s">
        <v>74</v>
      </c>
      <c r="AZ878" t="s">
        <v>74</v>
      </c>
      <c r="BA878" t="s">
        <v>74</v>
      </c>
      <c r="BB878">
        <v>345</v>
      </c>
      <c r="BC878">
        <v>352</v>
      </c>
      <c r="BD878" t="s">
        <v>74</v>
      </c>
      <c r="BE878" t="s">
        <v>13758</v>
      </c>
      <c r="BF878" t="str">
        <f>HYPERLINK("http://dx.doi.org/10.1017/S0954102006000393","http://dx.doi.org/10.1017/S0954102006000393")</f>
        <v>http://dx.doi.org/10.1017/S0954102006000393</v>
      </c>
      <c r="BG878" t="s">
        <v>74</v>
      </c>
      <c r="BH878" t="s">
        <v>74</v>
      </c>
      <c r="BI878">
        <v>8</v>
      </c>
      <c r="BJ878" t="s">
        <v>3377</v>
      </c>
      <c r="BK878" t="s">
        <v>97</v>
      </c>
      <c r="BL878" t="s">
        <v>3378</v>
      </c>
      <c r="BM878" t="s">
        <v>13683</v>
      </c>
      <c r="BN878" t="s">
        <v>74</v>
      </c>
      <c r="BO878" t="s">
        <v>74</v>
      </c>
      <c r="BP878" t="s">
        <v>74</v>
      </c>
      <c r="BQ878" t="s">
        <v>74</v>
      </c>
      <c r="BR878" t="s">
        <v>100</v>
      </c>
      <c r="BS878" t="s">
        <v>13759</v>
      </c>
      <c r="BT878" t="str">
        <f>HYPERLINK("https%3A%2F%2Fwww.webofscience.com%2Fwos%2Fwoscc%2Ffull-record%2FWOS:000240606500007","View Full Record in Web of Science")</f>
        <v>View Full Record in Web of Science</v>
      </c>
    </row>
    <row r="879" spans="1:72" x14ac:dyDescent="0.15">
      <c r="A879" t="s">
        <v>72</v>
      </c>
      <c r="B879" t="s">
        <v>13760</v>
      </c>
      <c r="C879" t="s">
        <v>74</v>
      </c>
      <c r="D879" t="s">
        <v>74</v>
      </c>
      <c r="E879" t="s">
        <v>74</v>
      </c>
      <c r="F879" t="s">
        <v>13761</v>
      </c>
      <c r="G879" t="s">
        <v>74</v>
      </c>
      <c r="H879" t="s">
        <v>74</v>
      </c>
      <c r="I879" t="s">
        <v>13762</v>
      </c>
      <c r="J879" t="s">
        <v>7998</v>
      </c>
      <c r="K879" t="s">
        <v>74</v>
      </c>
      <c r="L879" t="s">
        <v>74</v>
      </c>
      <c r="M879" t="s">
        <v>78</v>
      </c>
      <c r="N879" t="s">
        <v>79</v>
      </c>
      <c r="O879" t="s">
        <v>74</v>
      </c>
      <c r="P879" t="s">
        <v>74</v>
      </c>
      <c r="Q879" t="s">
        <v>74</v>
      </c>
      <c r="R879" t="s">
        <v>74</v>
      </c>
      <c r="S879" t="s">
        <v>74</v>
      </c>
      <c r="T879" t="s">
        <v>13763</v>
      </c>
      <c r="U879" t="s">
        <v>13764</v>
      </c>
      <c r="V879" t="s">
        <v>13765</v>
      </c>
      <c r="W879" t="s">
        <v>13766</v>
      </c>
      <c r="X879" t="s">
        <v>13767</v>
      </c>
      <c r="Y879" t="s">
        <v>13768</v>
      </c>
      <c r="Z879" t="s">
        <v>13769</v>
      </c>
      <c r="AA879" t="s">
        <v>13770</v>
      </c>
      <c r="AB879" t="s">
        <v>13771</v>
      </c>
      <c r="AC879" t="s">
        <v>74</v>
      </c>
      <c r="AD879" t="s">
        <v>74</v>
      </c>
      <c r="AE879" t="s">
        <v>74</v>
      </c>
      <c r="AF879" t="s">
        <v>74</v>
      </c>
      <c r="AG879">
        <v>17</v>
      </c>
      <c r="AH879">
        <v>26</v>
      </c>
      <c r="AI879">
        <v>28</v>
      </c>
      <c r="AJ879">
        <v>0</v>
      </c>
      <c r="AK879">
        <v>13</v>
      </c>
      <c r="AL879" t="s">
        <v>221</v>
      </c>
      <c r="AM879" t="s">
        <v>678</v>
      </c>
      <c r="AN879" t="s">
        <v>2692</v>
      </c>
      <c r="AO879" t="s">
        <v>8000</v>
      </c>
      <c r="AP879" t="s">
        <v>74</v>
      </c>
      <c r="AQ879" t="s">
        <v>74</v>
      </c>
      <c r="AR879" t="s">
        <v>8001</v>
      </c>
      <c r="AS879" t="s">
        <v>8002</v>
      </c>
      <c r="AT879" t="s">
        <v>13673</v>
      </c>
      <c r="AU879">
        <v>2006</v>
      </c>
      <c r="AV879">
        <v>18</v>
      </c>
      <c r="AW879">
        <v>3</v>
      </c>
      <c r="AX879" t="s">
        <v>74</v>
      </c>
      <c r="AY879" t="s">
        <v>74</v>
      </c>
      <c r="AZ879" t="s">
        <v>74</v>
      </c>
      <c r="BA879" t="s">
        <v>74</v>
      </c>
      <c r="BB879">
        <v>353</v>
      </c>
      <c r="BC879">
        <v>356</v>
      </c>
      <c r="BD879" t="s">
        <v>74</v>
      </c>
      <c r="BE879" t="s">
        <v>13772</v>
      </c>
      <c r="BF879" t="str">
        <f>HYPERLINK("http://dx.doi.org/10.1017/S095410200600040X","http://dx.doi.org/10.1017/S095410200600040X")</f>
        <v>http://dx.doi.org/10.1017/S095410200600040X</v>
      </c>
      <c r="BG879" t="s">
        <v>74</v>
      </c>
      <c r="BH879" t="s">
        <v>74</v>
      </c>
      <c r="BI879">
        <v>4</v>
      </c>
      <c r="BJ879" t="s">
        <v>3377</v>
      </c>
      <c r="BK879" t="s">
        <v>97</v>
      </c>
      <c r="BL879" t="s">
        <v>3378</v>
      </c>
      <c r="BM879" t="s">
        <v>13683</v>
      </c>
      <c r="BN879" t="s">
        <v>74</v>
      </c>
      <c r="BO879" t="s">
        <v>74</v>
      </c>
      <c r="BP879" t="s">
        <v>74</v>
      </c>
      <c r="BQ879" t="s">
        <v>74</v>
      </c>
      <c r="BR879" t="s">
        <v>100</v>
      </c>
      <c r="BS879" t="s">
        <v>13773</v>
      </c>
      <c r="BT879" t="str">
        <f>HYPERLINK("https%3A%2F%2Fwww.webofscience.com%2Fwos%2Fwoscc%2Ffull-record%2FWOS:000240606500008","View Full Record in Web of Science")</f>
        <v>View Full Record in Web of Science</v>
      </c>
    </row>
    <row r="880" spans="1:72" x14ac:dyDescent="0.15">
      <c r="A880" t="s">
        <v>72</v>
      </c>
      <c r="B880" t="s">
        <v>13774</v>
      </c>
      <c r="C880" t="s">
        <v>74</v>
      </c>
      <c r="D880" t="s">
        <v>74</v>
      </c>
      <c r="E880" t="s">
        <v>74</v>
      </c>
      <c r="F880" t="s">
        <v>13775</v>
      </c>
      <c r="G880" t="s">
        <v>74</v>
      </c>
      <c r="H880" t="s">
        <v>74</v>
      </c>
      <c r="I880" t="s">
        <v>13776</v>
      </c>
      <c r="J880" t="s">
        <v>7998</v>
      </c>
      <c r="K880" t="s">
        <v>74</v>
      </c>
      <c r="L880" t="s">
        <v>74</v>
      </c>
      <c r="M880" t="s">
        <v>78</v>
      </c>
      <c r="N880" t="s">
        <v>79</v>
      </c>
      <c r="O880" t="s">
        <v>74</v>
      </c>
      <c r="P880" t="s">
        <v>74</v>
      </c>
      <c r="Q880" t="s">
        <v>74</v>
      </c>
      <c r="R880" t="s">
        <v>74</v>
      </c>
      <c r="S880" t="s">
        <v>74</v>
      </c>
      <c r="T880" t="s">
        <v>13777</v>
      </c>
      <c r="U880" t="s">
        <v>13778</v>
      </c>
      <c r="V880" t="s">
        <v>13779</v>
      </c>
      <c r="W880" t="s">
        <v>13780</v>
      </c>
      <c r="X880" t="s">
        <v>13781</v>
      </c>
      <c r="Y880" t="s">
        <v>13782</v>
      </c>
      <c r="Z880" t="s">
        <v>13783</v>
      </c>
      <c r="AA880" t="s">
        <v>74</v>
      </c>
      <c r="AB880" t="s">
        <v>74</v>
      </c>
      <c r="AC880" t="s">
        <v>74</v>
      </c>
      <c r="AD880" t="s">
        <v>74</v>
      </c>
      <c r="AE880" t="s">
        <v>74</v>
      </c>
      <c r="AF880" t="s">
        <v>74</v>
      </c>
      <c r="AG880">
        <v>90</v>
      </c>
      <c r="AH880">
        <v>8</v>
      </c>
      <c r="AI880">
        <v>10</v>
      </c>
      <c r="AJ880">
        <v>0</v>
      </c>
      <c r="AK880">
        <v>7</v>
      </c>
      <c r="AL880" t="s">
        <v>221</v>
      </c>
      <c r="AM880" t="s">
        <v>678</v>
      </c>
      <c r="AN880" t="s">
        <v>2692</v>
      </c>
      <c r="AO880" t="s">
        <v>8000</v>
      </c>
      <c r="AP880" t="s">
        <v>8016</v>
      </c>
      <c r="AQ880" t="s">
        <v>74</v>
      </c>
      <c r="AR880" t="s">
        <v>8001</v>
      </c>
      <c r="AS880" t="s">
        <v>8002</v>
      </c>
      <c r="AT880" t="s">
        <v>13673</v>
      </c>
      <c r="AU880">
        <v>2006</v>
      </c>
      <c r="AV880">
        <v>18</v>
      </c>
      <c r="AW880">
        <v>3</v>
      </c>
      <c r="AX880" t="s">
        <v>74</v>
      </c>
      <c r="AY880" t="s">
        <v>74</v>
      </c>
      <c r="AZ880" t="s">
        <v>74</v>
      </c>
      <c r="BA880" t="s">
        <v>74</v>
      </c>
      <c r="BB880">
        <v>357</v>
      </c>
      <c r="BC880">
        <v>376</v>
      </c>
      <c r="BD880" t="s">
        <v>74</v>
      </c>
      <c r="BE880" t="s">
        <v>13784</v>
      </c>
      <c r="BF880" t="str">
        <f>HYPERLINK("http://dx.doi.org/10.1017/S0954102006000411","http://dx.doi.org/10.1017/S0954102006000411")</f>
        <v>http://dx.doi.org/10.1017/S0954102006000411</v>
      </c>
      <c r="BG880" t="s">
        <v>74</v>
      </c>
      <c r="BH880" t="s">
        <v>74</v>
      </c>
      <c r="BI880">
        <v>20</v>
      </c>
      <c r="BJ880" t="s">
        <v>3377</v>
      </c>
      <c r="BK880" t="s">
        <v>97</v>
      </c>
      <c r="BL880" t="s">
        <v>3378</v>
      </c>
      <c r="BM880" t="s">
        <v>13683</v>
      </c>
      <c r="BN880" t="s">
        <v>74</v>
      </c>
      <c r="BO880" t="s">
        <v>74</v>
      </c>
      <c r="BP880" t="s">
        <v>74</v>
      </c>
      <c r="BQ880" t="s">
        <v>74</v>
      </c>
      <c r="BR880" t="s">
        <v>100</v>
      </c>
      <c r="BS880" t="s">
        <v>13785</v>
      </c>
      <c r="BT880" t="str">
        <f>HYPERLINK("https%3A%2F%2Fwww.webofscience.com%2Fwos%2Fwoscc%2Ffull-record%2FWOS:000240606500009","View Full Record in Web of Science")</f>
        <v>View Full Record in Web of Science</v>
      </c>
    </row>
    <row r="881" spans="1:72" x14ac:dyDescent="0.15">
      <c r="A881" t="s">
        <v>72</v>
      </c>
      <c r="B881" t="s">
        <v>13786</v>
      </c>
      <c r="C881" t="s">
        <v>74</v>
      </c>
      <c r="D881" t="s">
        <v>74</v>
      </c>
      <c r="E881" t="s">
        <v>74</v>
      </c>
      <c r="F881" t="s">
        <v>13787</v>
      </c>
      <c r="G881" t="s">
        <v>74</v>
      </c>
      <c r="H881" t="s">
        <v>74</v>
      </c>
      <c r="I881" t="s">
        <v>13788</v>
      </c>
      <c r="J881" t="s">
        <v>7998</v>
      </c>
      <c r="K881" t="s">
        <v>74</v>
      </c>
      <c r="L881" t="s">
        <v>74</v>
      </c>
      <c r="M881" t="s">
        <v>78</v>
      </c>
      <c r="N881" t="s">
        <v>79</v>
      </c>
      <c r="O881" t="s">
        <v>74</v>
      </c>
      <c r="P881" t="s">
        <v>74</v>
      </c>
      <c r="Q881" t="s">
        <v>74</v>
      </c>
      <c r="R881" t="s">
        <v>74</v>
      </c>
      <c r="S881" t="s">
        <v>74</v>
      </c>
      <c r="T881" t="s">
        <v>13789</v>
      </c>
      <c r="U881" t="s">
        <v>13790</v>
      </c>
      <c r="V881" t="s">
        <v>13791</v>
      </c>
      <c r="W881" t="s">
        <v>13792</v>
      </c>
      <c r="X881" t="s">
        <v>13793</v>
      </c>
      <c r="Y881" t="s">
        <v>13794</v>
      </c>
      <c r="Z881" t="s">
        <v>13795</v>
      </c>
      <c r="AA881" t="s">
        <v>74</v>
      </c>
      <c r="AB881" t="s">
        <v>74</v>
      </c>
      <c r="AC881" t="s">
        <v>74</v>
      </c>
      <c r="AD881" t="s">
        <v>74</v>
      </c>
      <c r="AE881" t="s">
        <v>74</v>
      </c>
      <c r="AF881" t="s">
        <v>74</v>
      </c>
      <c r="AG881">
        <v>26</v>
      </c>
      <c r="AH881">
        <v>15</v>
      </c>
      <c r="AI881">
        <v>16</v>
      </c>
      <c r="AJ881">
        <v>0</v>
      </c>
      <c r="AK881">
        <v>9</v>
      </c>
      <c r="AL881" t="s">
        <v>221</v>
      </c>
      <c r="AM881" t="s">
        <v>678</v>
      </c>
      <c r="AN881" t="s">
        <v>2692</v>
      </c>
      <c r="AO881" t="s">
        <v>8000</v>
      </c>
      <c r="AP881" t="s">
        <v>74</v>
      </c>
      <c r="AQ881" t="s">
        <v>74</v>
      </c>
      <c r="AR881" t="s">
        <v>8001</v>
      </c>
      <c r="AS881" t="s">
        <v>8002</v>
      </c>
      <c r="AT881" t="s">
        <v>13673</v>
      </c>
      <c r="AU881">
        <v>2006</v>
      </c>
      <c r="AV881">
        <v>18</v>
      </c>
      <c r="AW881">
        <v>3</v>
      </c>
      <c r="AX881" t="s">
        <v>74</v>
      </c>
      <c r="AY881" t="s">
        <v>74</v>
      </c>
      <c r="AZ881" t="s">
        <v>74</v>
      </c>
      <c r="BA881" t="s">
        <v>74</v>
      </c>
      <c r="BB881">
        <v>377</v>
      </c>
      <c r="BC881">
        <v>384</v>
      </c>
      <c r="BD881" t="s">
        <v>74</v>
      </c>
      <c r="BE881" t="s">
        <v>13796</v>
      </c>
      <c r="BF881" t="str">
        <f>HYPERLINK("http://dx.doi.org/10.1017/S0954102006000423","http://dx.doi.org/10.1017/S0954102006000423")</f>
        <v>http://dx.doi.org/10.1017/S0954102006000423</v>
      </c>
      <c r="BG881" t="s">
        <v>74</v>
      </c>
      <c r="BH881" t="s">
        <v>74</v>
      </c>
      <c r="BI881">
        <v>8</v>
      </c>
      <c r="BJ881" t="s">
        <v>3377</v>
      </c>
      <c r="BK881" t="s">
        <v>97</v>
      </c>
      <c r="BL881" t="s">
        <v>3378</v>
      </c>
      <c r="BM881" t="s">
        <v>13683</v>
      </c>
      <c r="BN881" t="s">
        <v>74</v>
      </c>
      <c r="BO881" t="s">
        <v>74</v>
      </c>
      <c r="BP881" t="s">
        <v>74</v>
      </c>
      <c r="BQ881" t="s">
        <v>74</v>
      </c>
      <c r="BR881" t="s">
        <v>100</v>
      </c>
      <c r="BS881" t="s">
        <v>13797</v>
      </c>
      <c r="BT881" t="str">
        <f>HYPERLINK("https%3A%2F%2Fwww.webofscience.com%2Fwos%2Fwoscc%2Ffull-record%2FWOS:000240606500010","View Full Record in Web of Science")</f>
        <v>View Full Record in Web of Science</v>
      </c>
    </row>
    <row r="882" spans="1:72" x14ac:dyDescent="0.15">
      <c r="A882" t="s">
        <v>72</v>
      </c>
      <c r="B882" t="s">
        <v>13798</v>
      </c>
      <c r="C882" t="s">
        <v>74</v>
      </c>
      <c r="D882" t="s">
        <v>74</v>
      </c>
      <c r="E882" t="s">
        <v>74</v>
      </c>
      <c r="F882" t="s">
        <v>13799</v>
      </c>
      <c r="G882" t="s">
        <v>74</v>
      </c>
      <c r="H882" t="s">
        <v>74</v>
      </c>
      <c r="I882" t="s">
        <v>13800</v>
      </c>
      <c r="J882" t="s">
        <v>7998</v>
      </c>
      <c r="K882" t="s">
        <v>74</v>
      </c>
      <c r="L882" t="s">
        <v>74</v>
      </c>
      <c r="M882" t="s">
        <v>78</v>
      </c>
      <c r="N882" t="s">
        <v>79</v>
      </c>
      <c r="O882" t="s">
        <v>74</v>
      </c>
      <c r="P882" t="s">
        <v>74</v>
      </c>
      <c r="Q882" t="s">
        <v>74</v>
      </c>
      <c r="R882" t="s">
        <v>74</v>
      </c>
      <c r="S882" t="s">
        <v>74</v>
      </c>
      <c r="T882" t="s">
        <v>13801</v>
      </c>
      <c r="U882" t="s">
        <v>13802</v>
      </c>
      <c r="V882" t="s">
        <v>13803</v>
      </c>
      <c r="W882" t="s">
        <v>13804</v>
      </c>
      <c r="X882" t="s">
        <v>13805</v>
      </c>
      <c r="Y882" t="s">
        <v>13806</v>
      </c>
      <c r="Z882" t="s">
        <v>74</v>
      </c>
      <c r="AA882" t="s">
        <v>74</v>
      </c>
      <c r="AB882" t="s">
        <v>13807</v>
      </c>
      <c r="AC882" t="s">
        <v>74</v>
      </c>
      <c r="AD882" t="s">
        <v>74</v>
      </c>
      <c r="AE882" t="s">
        <v>74</v>
      </c>
      <c r="AF882" t="s">
        <v>74</v>
      </c>
      <c r="AG882">
        <v>23</v>
      </c>
      <c r="AH882">
        <v>42</v>
      </c>
      <c r="AI882">
        <v>52</v>
      </c>
      <c r="AJ882">
        <v>0</v>
      </c>
      <c r="AK882">
        <v>11</v>
      </c>
      <c r="AL882" t="s">
        <v>221</v>
      </c>
      <c r="AM882" t="s">
        <v>678</v>
      </c>
      <c r="AN882" t="s">
        <v>2692</v>
      </c>
      <c r="AO882" t="s">
        <v>8000</v>
      </c>
      <c r="AP882" t="s">
        <v>8016</v>
      </c>
      <c r="AQ882" t="s">
        <v>74</v>
      </c>
      <c r="AR882" t="s">
        <v>8001</v>
      </c>
      <c r="AS882" t="s">
        <v>8002</v>
      </c>
      <c r="AT882" t="s">
        <v>13673</v>
      </c>
      <c r="AU882">
        <v>2006</v>
      </c>
      <c r="AV882">
        <v>18</v>
      </c>
      <c r="AW882">
        <v>3</v>
      </c>
      <c r="AX882" t="s">
        <v>74</v>
      </c>
      <c r="AY882" t="s">
        <v>74</v>
      </c>
      <c r="AZ882" t="s">
        <v>74</v>
      </c>
      <c r="BA882" t="s">
        <v>74</v>
      </c>
      <c r="BB882">
        <v>385</v>
      </c>
      <c r="BC882">
        <v>397</v>
      </c>
      <c r="BD882" t="s">
        <v>74</v>
      </c>
      <c r="BE882" t="s">
        <v>13808</v>
      </c>
      <c r="BF882" t="str">
        <f>HYPERLINK("http://dx.doi.org/10.1017/S0954102006000435","http://dx.doi.org/10.1017/S0954102006000435")</f>
        <v>http://dx.doi.org/10.1017/S0954102006000435</v>
      </c>
      <c r="BG882" t="s">
        <v>74</v>
      </c>
      <c r="BH882" t="s">
        <v>74</v>
      </c>
      <c r="BI882">
        <v>13</v>
      </c>
      <c r="BJ882" t="s">
        <v>3377</v>
      </c>
      <c r="BK882" t="s">
        <v>97</v>
      </c>
      <c r="BL882" t="s">
        <v>3378</v>
      </c>
      <c r="BM882" t="s">
        <v>13683</v>
      </c>
      <c r="BN882" t="s">
        <v>74</v>
      </c>
      <c r="BO882" t="s">
        <v>74</v>
      </c>
      <c r="BP882" t="s">
        <v>74</v>
      </c>
      <c r="BQ882" t="s">
        <v>74</v>
      </c>
      <c r="BR882" t="s">
        <v>100</v>
      </c>
      <c r="BS882" t="s">
        <v>13809</v>
      </c>
      <c r="BT882" t="str">
        <f>HYPERLINK("https%3A%2F%2Fwww.webofscience.com%2Fwos%2Fwoscc%2Ffull-record%2FWOS:000240606500011","View Full Record in Web of Science")</f>
        <v>View Full Record in Web of Science</v>
      </c>
    </row>
    <row r="883" spans="1:72" x14ac:dyDescent="0.15">
      <c r="A883" t="s">
        <v>72</v>
      </c>
      <c r="B883" t="s">
        <v>13810</v>
      </c>
      <c r="C883" t="s">
        <v>74</v>
      </c>
      <c r="D883" t="s">
        <v>74</v>
      </c>
      <c r="E883" t="s">
        <v>74</v>
      </c>
      <c r="F883" t="s">
        <v>13811</v>
      </c>
      <c r="G883" t="s">
        <v>74</v>
      </c>
      <c r="H883" t="s">
        <v>74</v>
      </c>
      <c r="I883" t="s">
        <v>13812</v>
      </c>
      <c r="J883" t="s">
        <v>7998</v>
      </c>
      <c r="K883" t="s">
        <v>74</v>
      </c>
      <c r="L883" t="s">
        <v>74</v>
      </c>
      <c r="M883" t="s">
        <v>78</v>
      </c>
      <c r="N883" t="s">
        <v>79</v>
      </c>
      <c r="O883" t="s">
        <v>74</v>
      </c>
      <c r="P883" t="s">
        <v>74</v>
      </c>
      <c r="Q883" t="s">
        <v>74</v>
      </c>
      <c r="R883" t="s">
        <v>74</v>
      </c>
      <c r="S883" t="s">
        <v>74</v>
      </c>
      <c r="T883" t="s">
        <v>13813</v>
      </c>
      <c r="U883" t="s">
        <v>13814</v>
      </c>
      <c r="V883" t="s">
        <v>13815</v>
      </c>
      <c r="W883" t="s">
        <v>13816</v>
      </c>
      <c r="X883" t="s">
        <v>13817</v>
      </c>
      <c r="Y883" t="s">
        <v>7838</v>
      </c>
      <c r="Z883" t="s">
        <v>13818</v>
      </c>
      <c r="AA883" t="s">
        <v>74</v>
      </c>
      <c r="AB883" t="s">
        <v>74</v>
      </c>
      <c r="AC883" t="s">
        <v>13819</v>
      </c>
      <c r="AD883" t="s">
        <v>158</v>
      </c>
      <c r="AE883" t="s">
        <v>74</v>
      </c>
      <c r="AF883" t="s">
        <v>74</v>
      </c>
      <c r="AG883">
        <v>29</v>
      </c>
      <c r="AH883">
        <v>24</v>
      </c>
      <c r="AI883">
        <v>26</v>
      </c>
      <c r="AJ883">
        <v>0</v>
      </c>
      <c r="AK883">
        <v>6</v>
      </c>
      <c r="AL883" t="s">
        <v>221</v>
      </c>
      <c r="AM883" t="s">
        <v>678</v>
      </c>
      <c r="AN883" t="s">
        <v>2692</v>
      </c>
      <c r="AO883" t="s">
        <v>8000</v>
      </c>
      <c r="AP883" t="s">
        <v>8016</v>
      </c>
      <c r="AQ883" t="s">
        <v>74</v>
      </c>
      <c r="AR883" t="s">
        <v>8001</v>
      </c>
      <c r="AS883" t="s">
        <v>8002</v>
      </c>
      <c r="AT883" t="s">
        <v>13673</v>
      </c>
      <c r="AU883">
        <v>2006</v>
      </c>
      <c r="AV883">
        <v>18</v>
      </c>
      <c r="AW883">
        <v>3</v>
      </c>
      <c r="AX883" t="s">
        <v>74</v>
      </c>
      <c r="AY883" t="s">
        <v>74</v>
      </c>
      <c r="AZ883" t="s">
        <v>74</v>
      </c>
      <c r="BA883" t="s">
        <v>74</v>
      </c>
      <c r="BB883">
        <v>399</v>
      </c>
      <c r="BC883">
        <v>408</v>
      </c>
      <c r="BD883" t="s">
        <v>74</v>
      </c>
      <c r="BE883" t="s">
        <v>13820</v>
      </c>
      <c r="BF883" t="str">
        <f>HYPERLINK("http://dx.doi.org/10.1017/S0954102006000447","http://dx.doi.org/10.1017/S0954102006000447")</f>
        <v>http://dx.doi.org/10.1017/S0954102006000447</v>
      </c>
      <c r="BG883" t="s">
        <v>74</v>
      </c>
      <c r="BH883" t="s">
        <v>74</v>
      </c>
      <c r="BI883">
        <v>10</v>
      </c>
      <c r="BJ883" t="s">
        <v>3377</v>
      </c>
      <c r="BK883" t="s">
        <v>97</v>
      </c>
      <c r="BL883" t="s">
        <v>3378</v>
      </c>
      <c r="BM883" t="s">
        <v>13683</v>
      </c>
      <c r="BN883" t="s">
        <v>74</v>
      </c>
      <c r="BO883" t="s">
        <v>74</v>
      </c>
      <c r="BP883" t="s">
        <v>74</v>
      </c>
      <c r="BQ883" t="s">
        <v>74</v>
      </c>
      <c r="BR883" t="s">
        <v>100</v>
      </c>
      <c r="BS883" t="s">
        <v>13821</v>
      </c>
      <c r="BT883" t="str">
        <f>HYPERLINK("https%3A%2F%2Fwww.webofscience.com%2Fwos%2Fwoscc%2Ffull-record%2FWOS:000240606500012","View Full Record in Web of Science")</f>
        <v>View Full Record in Web of Science</v>
      </c>
    </row>
    <row r="884" spans="1:72" x14ac:dyDescent="0.15">
      <c r="A884" t="s">
        <v>72</v>
      </c>
      <c r="B884" t="s">
        <v>13822</v>
      </c>
      <c r="C884" t="s">
        <v>74</v>
      </c>
      <c r="D884" t="s">
        <v>74</v>
      </c>
      <c r="E884" t="s">
        <v>74</v>
      </c>
      <c r="F884" t="s">
        <v>13823</v>
      </c>
      <c r="G884" t="s">
        <v>74</v>
      </c>
      <c r="H884" t="s">
        <v>74</v>
      </c>
      <c r="I884" t="s">
        <v>13824</v>
      </c>
      <c r="J884" t="s">
        <v>7998</v>
      </c>
      <c r="K884" t="s">
        <v>74</v>
      </c>
      <c r="L884" t="s">
        <v>74</v>
      </c>
      <c r="M884" t="s">
        <v>78</v>
      </c>
      <c r="N884" t="s">
        <v>79</v>
      </c>
      <c r="O884" t="s">
        <v>74</v>
      </c>
      <c r="P884" t="s">
        <v>74</v>
      </c>
      <c r="Q884" t="s">
        <v>74</v>
      </c>
      <c r="R884" t="s">
        <v>74</v>
      </c>
      <c r="S884" t="s">
        <v>74</v>
      </c>
      <c r="T884" t="s">
        <v>13825</v>
      </c>
      <c r="U884" t="s">
        <v>13826</v>
      </c>
      <c r="V884" t="s">
        <v>13827</v>
      </c>
      <c r="W884" t="s">
        <v>13828</v>
      </c>
      <c r="X884" t="s">
        <v>13829</v>
      </c>
      <c r="Y884" t="s">
        <v>13830</v>
      </c>
      <c r="Z884" t="s">
        <v>74</v>
      </c>
      <c r="AA884" t="s">
        <v>74</v>
      </c>
      <c r="AB884" t="s">
        <v>74</v>
      </c>
      <c r="AC884" t="s">
        <v>74</v>
      </c>
      <c r="AD884" t="s">
        <v>74</v>
      </c>
      <c r="AE884" t="s">
        <v>74</v>
      </c>
      <c r="AF884" t="s">
        <v>74</v>
      </c>
      <c r="AG884">
        <v>75</v>
      </c>
      <c r="AH884">
        <v>15</v>
      </c>
      <c r="AI884">
        <v>15</v>
      </c>
      <c r="AJ884">
        <v>0</v>
      </c>
      <c r="AK884">
        <v>10</v>
      </c>
      <c r="AL884" t="s">
        <v>221</v>
      </c>
      <c r="AM884" t="s">
        <v>678</v>
      </c>
      <c r="AN884" t="s">
        <v>2692</v>
      </c>
      <c r="AO884" t="s">
        <v>8000</v>
      </c>
      <c r="AP884" t="s">
        <v>74</v>
      </c>
      <c r="AQ884" t="s">
        <v>74</v>
      </c>
      <c r="AR884" t="s">
        <v>8001</v>
      </c>
      <c r="AS884" t="s">
        <v>8002</v>
      </c>
      <c r="AT884" t="s">
        <v>13673</v>
      </c>
      <c r="AU884">
        <v>2006</v>
      </c>
      <c r="AV884">
        <v>18</v>
      </c>
      <c r="AW884">
        <v>3</v>
      </c>
      <c r="AX884" t="s">
        <v>74</v>
      </c>
      <c r="AY884" t="s">
        <v>74</v>
      </c>
      <c r="AZ884" t="s">
        <v>74</v>
      </c>
      <c r="BA884" t="s">
        <v>74</v>
      </c>
      <c r="BB884">
        <v>409</v>
      </c>
      <c r="BC884">
        <v>419</v>
      </c>
      <c r="BD884" t="s">
        <v>74</v>
      </c>
      <c r="BE884" t="s">
        <v>13831</v>
      </c>
      <c r="BF884" t="str">
        <f>HYPERLINK("http://dx.doi.org/10.1017/S0954102006000459","http://dx.doi.org/10.1017/S0954102006000459")</f>
        <v>http://dx.doi.org/10.1017/S0954102006000459</v>
      </c>
      <c r="BG884" t="s">
        <v>74</v>
      </c>
      <c r="BH884" t="s">
        <v>74</v>
      </c>
      <c r="BI884">
        <v>11</v>
      </c>
      <c r="BJ884" t="s">
        <v>3377</v>
      </c>
      <c r="BK884" t="s">
        <v>97</v>
      </c>
      <c r="BL884" t="s">
        <v>3378</v>
      </c>
      <c r="BM884" t="s">
        <v>13683</v>
      </c>
      <c r="BN884" t="s">
        <v>74</v>
      </c>
      <c r="BO884" t="s">
        <v>1384</v>
      </c>
      <c r="BP884" t="s">
        <v>74</v>
      </c>
      <c r="BQ884" t="s">
        <v>74</v>
      </c>
      <c r="BR884" t="s">
        <v>100</v>
      </c>
      <c r="BS884" t="s">
        <v>13832</v>
      </c>
      <c r="BT884" t="str">
        <f>HYPERLINK("https%3A%2F%2Fwww.webofscience.com%2Fwos%2Fwoscc%2Ffull-record%2FWOS:000240606500013","View Full Record in Web of Science")</f>
        <v>View Full Record in Web of Science</v>
      </c>
    </row>
    <row r="885" spans="1:72" x14ac:dyDescent="0.15">
      <c r="A885" t="s">
        <v>72</v>
      </c>
      <c r="B885" t="s">
        <v>13833</v>
      </c>
      <c r="C885" t="s">
        <v>74</v>
      </c>
      <c r="D885" t="s">
        <v>74</v>
      </c>
      <c r="E885" t="s">
        <v>74</v>
      </c>
      <c r="F885" t="s">
        <v>13834</v>
      </c>
      <c r="G885" t="s">
        <v>74</v>
      </c>
      <c r="H885" t="s">
        <v>74</v>
      </c>
      <c r="I885" t="s">
        <v>13835</v>
      </c>
      <c r="J885" t="s">
        <v>7998</v>
      </c>
      <c r="K885" t="s">
        <v>74</v>
      </c>
      <c r="L885" t="s">
        <v>74</v>
      </c>
      <c r="M885" t="s">
        <v>78</v>
      </c>
      <c r="N885" t="s">
        <v>79</v>
      </c>
      <c r="O885" t="s">
        <v>74</v>
      </c>
      <c r="P885" t="s">
        <v>74</v>
      </c>
      <c r="Q885" t="s">
        <v>74</v>
      </c>
      <c r="R885" t="s">
        <v>74</v>
      </c>
      <c r="S885" t="s">
        <v>74</v>
      </c>
      <c r="T885" t="s">
        <v>13836</v>
      </c>
      <c r="U885" t="s">
        <v>13837</v>
      </c>
      <c r="V885" t="s">
        <v>13838</v>
      </c>
      <c r="W885" t="s">
        <v>13839</v>
      </c>
      <c r="X885" t="s">
        <v>13840</v>
      </c>
      <c r="Y885" t="s">
        <v>13841</v>
      </c>
      <c r="Z885" t="s">
        <v>13842</v>
      </c>
      <c r="AA885" t="s">
        <v>74</v>
      </c>
      <c r="AB885" t="s">
        <v>13843</v>
      </c>
      <c r="AC885" t="s">
        <v>74</v>
      </c>
      <c r="AD885" t="s">
        <v>74</v>
      </c>
      <c r="AE885" t="s">
        <v>74</v>
      </c>
      <c r="AF885" t="s">
        <v>74</v>
      </c>
      <c r="AG885">
        <v>20</v>
      </c>
      <c r="AH885">
        <v>71</v>
      </c>
      <c r="AI885">
        <v>82</v>
      </c>
      <c r="AJ885">
        <v>0</v>
      </c>
      <c r="AK885">
        <v>16</v>
      </c>
      <c r="AL885" t="s">
        <v>221</v>
      </c>
      <c r="AM885" t="s">
        <v>678</v>
      </c>
      <c r="AN885" t="s">
        <v>2692</v>
      </c>
      <c r="AO885" t="s">
        <v>8000</v>
      </c>
      <c r="AP885" t="s">
        <v>8016</v>
      </c>
      <c r="AQ885" t="s">
        <v>74</v>
      </c>
      <c r="AR885" t="s">
        <v>8001</v>
      </c>
      <c r="AS885" t="s">
        <v>8002</v>
      </c>
      <c r="AT885" t="s">
        <v>13673</v>
      </c>
      <c r="AU885">
        <v>2006</v>
      </c>
      <c r="AV885">
        <v>18</v>
      </c>
      <c r="AW885">
        <v>3</v>
      </c>
      <c r="AX885" t="s">
        <v>74</v>
      </c>
      <c r="AY885" t="s">
        <v>74</v>
      </c>
      <c r="AZ885" t="s">
        <v>74</v>
      </c>
      <c r="BA885" t="s">
        <v>74</v>
      </c>
      <c r="BB885">
        <v>421</v>
      </c>
      <c r="BC885">
        <v>428</v>
      </c>
      <c r="BD885" t="s">
        <v>74</v>
      </c>
      <c r="BE885" t="s">
        <v>13844</v>
      </c>
      <c r="BF885" t="str">
        <f>HYPERLINK("http://dx.doi.org/10.1017/S0954102006000460","http://dx.doi.org/10.1017/S0954102006000460")</f>
        <v>http://dx.doi.org/10.1017/S0954102006000460</v>
      </c>
      <c r="BG885" t="s">
        <v>74</v>
      </c>
      <c r="BH885" t="s">
        <v>74</v>
      </c>
      <c r="BI885">
        <v>8</v>
      </c>
      <c r="BJ885" t="s">
        <v>3377</v>
      </c>
      <c r="BK885" t="s">
        <v>97</v>
      </c>
      <c r="BL885" t="s">
        <v>3378</v>
      </c>
      <c r="BM885" t="s">
        <v>13683</v>
      </c>
      <c r="BN885" t="s">
        <v>74</v>
      </c>
      <c r="BO885" t="s">
        <v>74</v>
      </c>
      <c r="BP885" t="s">
        <v>74</v>
      </c>
      <c r="BQ885" t="s">
        <v>74</v>
      </c>
      <c r="BR885" t="s">
        <v>100</v>
      </c>
      <c r="BS885" t="s">
        <v>13845</v>
      </c>
      <c r="BT885" t="str">
        <f>HYPERLINK("https%3A%2F%2Fwww.webofscience.com%2Fwos%2Fwoscc%2Ffull-record%2FWOS:000240606500014","View Full Record in Web of Science")</f>
        <v>View Full Record in Web of Science</v>
      </c>
    </row>
    <row r="886" spans="1:72" x14ac:dyDescent="0.15">
      <c r="A886" t="s">
        <v>72</v>
      </c>
      <c r="B886" t="s">
        <v>13846</v>
      </c>
      <c r="C886" t="s">
        <v>74</v>
      </c>
      <c r="D886" t="s">
        <v>74</v>
      </c>
      <c r="E886" t="s">
        <v>74</v>
      </c>
      <c r="F886" t="s">
        <v>13847</v>
      </c>
      <c r="G886" t="s">
        <v>74</v>
      </c>
      <c r="H886" t="s">
        <v>74</v>
      </c>
      <c r="I886" t="s">
        <v>13848</v>
      </c>
      <c r="J886" t="s">
        <v>7998</v>
      </c>
      <c r="K886" t="s">
        <v>74</v>
      </c>
      <c r="L886" t="s">
        <v>74</v>
      </c>
      <c r="M886" t="s">
        <v>78</v>
      </c>
      <c r="N886" t="s">
        <v>79</v>
      </c>
      <c r="O886" t="s">
        <v>74</v>
      </c>
      <c r="P886" t="s">
        <v>74</v>
      </c>
      <c r="Q886" t="s">
        <v>74</v>
      </c>
      <c r="R886" t="s">
        <v>74</v>
      </c>
      <c r="S886" t="s">
        <v>74</v>
      </c>
      <c r="T886" t="s">
        <v>13849</v>
      </c>
      <c r="U886" t="s">
        <v>13850</v>
      </c>
      <c r="V886" t="s">
        <v>13851</v>
      </c>
      <c r="W886" t="s">
        <v>13852</v>
      </c>
      <c r="X886" t="s">
        <v>13853</v>
      </c>
      <c r="Y886" t="s">
        <v>9212</v>
      </c>
      <c r="Z886" t="s">
        <v>9213</v>
      </c>
      <c r="AA886" t="s">
        <v>13854</v>
      </c>
      <c r="AB886" t="s">
        <v>13855</v>
      </c>
      <c r="AC886" t="s">
        <v>4321</v>
      </c>
      <c r="AD886" t="s">
        <v>158</v>
      </c>
      <c r="AE886" t="s">
        <v>74</v>
      </c>
      <c r="AF886" t="s">
        <v>74</v>
      </c>
      <c r="AG886">
        <v>26</v>
      </c>
      <c r="AH886">
        <v>8</v>
      </c>
      <c r="AI886">
        <v>8</v>
      </c>
      <c r="AJ886">
        <v>0</v>
      </c>
      <c r="AK886">
        <v>7</v>
      </c>
      <c r="AL886" t="s">
        <v>221</v>
      </c>
      <c r="AM886" t="s">
        <v>678</v>
      </c>
      <c r="AN886" t="s">
        <v>2692</v>
      </c>
      <c r="AO886" t="s">
        <v>8000</v>
      </c>
      <c r="AP886" t="s">
        <v>8016</v>
      </c>
      <c r="AQ886" t="s">
        <v>74</v>
      </c>
      <c r="AR886" t="s">
        <v>8001</v>
      </c>
      <c r="AS886" t="s">
        <v>8002</v>
      </c>
      <c r="AT886" t="s">
        <v>13673</v>
      </c>
      <c r="AU886">
        <v>2006</v>
      </c>
      <c r="AV886">
        <v>18</v>
      </c>
      <c r="AW886">
        <v>3</v>
      </c>
      <c r="AX886" t="s">
        <v>74</v>
      </c>
      <c r="AY886" t="s">
        <v>74</v>
      </c>
      <c r="AZ886" t="s">
        <v>74</v>
      </c>
      <c r="BA886" t="s">
        <v>74</v>
      </c>
      <c r="BB886">
        <v>429</v>
      </c>
      <c r="BC886">
        <v>436</v>
      </c>
      <c r="BD886" t="s">
        <v>74</v>
      </c>
      <c r="BE886" t="s">
        <v>13856</v>
      </c>
      <c r="BF886" t="str">
        <f>HYPERLINK("http://dx.doi.org/10.1017/S0954102006000472","http://dx.doi.org/10.1017/S0954102006000472")</f>
        <v>http://dx.doi.org/10.1017/S0954102006000472</v>
      </c>
      <c r="BG886" t="s">
        <v>74</v>
      </c>
      <c r="BH886" t="s">
        <v>74</v>
      </c>
      <c r="BI886">
        <v>8</v>
      </c>
      <c r="BJ886" t="s">
        <v>3377</v>
      </c>
      <c r="BK886" t="s">
        <v>97</v>
      </c>
      <c r="BL886" t="s">
        <v>3378</v>
      </c>
      <c r="BM886" t="s">
        <v>13683</v>
      </c>
      <c r="BN886" t="s">
        <v>74</v>
      </c>
      <c r="BO886" t="s">
        <v>74</v>
      </c>
      <c r="BP886" t="s">
        <v>74</v>
      </c>
      <c r="BQ886" t="s">
        <v>74</v>
      </c>
      <c r="BR886" t="s">
        <v>100</v>
      </c>
      <c r="BS886" t="s">
        <v>13857</v>
      </c>
      <c r="BT886" t="str">
        <f>HYPERLINK("https%3A%2F%2Fwww.webofscience.com%2Fwos%2Fwoscc%2Ffull-record%2FWOS:000240606500015","View Full Record in Web of Science")</f>
        <v>View Full Record in Web of Science</v>
      </c>
    </row>
    <row r="887" spans="1:72" x14ac:dyDescent="0.15">
      <c r="A887" t="s">
        <v>72</v>
      </c>
      <c r="B887" t="s">
        <v>13858</v>
      </c>
      <c r="C887" t="s">
        <v>74</v>
      </c>
      <c r="D887" t="s">
        <v>74</v>
      </c>
      <c r="E887" t="s">
        <v>74</v>
      </c>
      <c r="F887" t="s">
        <v>13859</v>
      </c>
      <c r="G887" t="s">
        <v>74</v>
      </c>
      <c r="H887" t="s">
        <v>74</v>
      </c>
      <c r="I887" t="s">
        <v>13860</v>
      </c>
      <c r="J887" t="s">
        <v>7998</v>
      </c>
      <c r="K887" t="s">
        <v>74</v>
      </c>
      <c r="L887" t="s">
        <v>74</v>
      </c>
      <c r="M887" t="s">
        <v>78</v>
      </c>
      <c r="N887" t="s">
        <v>79</v>
      </c>
      <c r="O887" t="s">
        <v>74</v>
      </c>
      <c r="P887" t="s">
        <v>74</v>
      </c>
      <c r="Q887" t="s">
        <v>74</v>
      </c>
      <c r="R887" t="s">
        <v>74</v>
      </c>
      <c r="S887" t="s">
        <v>74</v>
      </c>
      <c r="T887" t="s">
        <v>13861</v>
      </c>
      <c r="U887" t="s">
        <v>13862</v>
      </c>
      <c r="V887" t="s">
        <v>13863</v>
      </c>
      <c r="W887" t="s">
        <v>13864</v>
      </c>
      <c r="X887" t="s">
        <v>13865</v>
      </c>
      <c r="Y887" t="s">
        <v>13866</v>
      </c>
      <c r="Z887" t="s">
        <v>13867</v>
      </c>
      <c r="AA887" t="s">
        <v>13868</v>
      </c>
      <c r="AB887" t="s">
        <v>13869</v>
      </c>
      <c r="AC887" t="s">
        <v>74</v>
      </c>
      <c r="AD887" t="s">
        <v>74</v>
      </c>
      <c r="AE887" t="s">
        <v>74</v>
      </c>
      <c r="AF887" t="s">
        <v>74</v>
      </c>
      <c r="AG887">
        <v>20</v>
      </c>
      <c r="AH887">
        <v>10</v>
      </c>
      <c r="AI887">
        <v>10</v>
      </c>
      <c r="AJ887">
        <v>0</v>
      </c>
      <c r="AK887">
        <v>2</v>
      </c>
      <c r="AL887" t="s">
        <v>221</v>
      </c>
      <c r="AM887" t="s">
        <v>678</v>
      </c>
      <c r="AN887" t="s">
        <v>2692</v>
      </c>
      <c r="AO887" t="s">
        <v>8000</v>
      </c>
      <c r="AP887" t="s">
        <v>74</v>
      </c>
      <c r="AQ887" t="s">
        <v>74</v>
      </c>
      <c r="AR887" t="s">
        <v>8001</v>
      </c>
      <c r="AS887" t="s">
        <v>8002</v>
      </c>
      <c r="AT887" t="s">
        <v>13673</v>
      </c>
      <c r="AU887">
        <v>2006</v>
      </c>
      <c r="AV887">
        <v>18</v>
      </c>
      <c r="AW887">
        <v>3</v>
      </c>
      <c r="AX887" t="s">
        <v>74</v>
      </c>
      <c r="AY887" t="s">
        <v>74</v>
      </c>
      <c r="AZ887" t="s">
        <v>74</v>
      </c>
      <c r="BA887" t="s">
        <v>74</v>
      </c>
      <c r="BB887">
        <v>437</v>
      </c>
      <c r="BC887">
        <v>444</v>
      </c>
      <c r="BD887" t="s">
        <v>74</v>
      </c>
      <c r="BE887" t="s">
        <v>13870</v>
      </c>
      <c r="BF887" t="str">
        <f>HYPERLINK("http://dx.doi.org/10.1017/S0954102006000484","http://dx.doi.org/10.1017/S0954102006000484")</f>
        <v>http://dx.doi.org/10.1017/S0954102006000484</v>
      </c>
      <c r="BG887" t="s">
        <v>74</v>
      </c>
      <c r="BH887" t="s">
        <v>74</v>
      </c>
      <c r="BI887">
        <v>8</v>
      </c>
      <c r="BJ887" t="s">
        <v>3377</v>
      </c>
      <c r="BK887" t="s">
        <v>97</v>
      </c>
      <c r="BL887" t="s">
        <v>3378</v>
      </c>
      <c r="BM887" t="s">
        <v>13683</v>
      </c>
      <c r="BN887" t="s">
        <v>74</v>
      </c>
      <c r="BO887" t="s">
        <v>74</v>
      </c>
      <c r="BP887" t="s">
        <v>74</v>
      </c>
      <c r="BQ887" t="s">
        <v>74</v>
      </c>
      <c r="BR887" t="s">
        <v>100</v>
      </c>
      <c r="BS887" t="s">
        <v>13871</v>
      </c>
      <c r="BT887" t="str">
        <f>HYPERLINK("https%3A%2F%2Fwww.webofscience.com%2Fwos%2Fwoscc%2Ffull-record%2FWOS:000240606500016","View Full Record in Web of Science")</f>
        <v>View Full Record in Web of Science</v>
      </c>
    </row>
    <row r="888" spans="1:72" x14ac:dyDescent="0.15">
      <c r="A888" t="s">
        <v>72</v>
      </c>
      <c r="B888" t="s">
        <v>13872</v>
      </c>
      <c r="C888" t="s">
        <v>74</v>
      </c>
      <c r="D888" t="s">
        <v>74</v>
      </c>
      <c r="E888" t="s">
        <v>74</v>
      </c>
      <c r="F888" t="s">
        <v>13873</v>
      </c>
      <c r="G888" t="s">
        <v>74</v>
      </c>
      <c r="H888" t="s">
        <v>74</v>
      </c>
      <c r="I888" t="s">
        <v>13874</v>
      </c>
      <c r="J888" t="s">
        <v>13875</v>
      </c>
      <c r="K888" t="s">
        <v>74</v>
      </c>
      <c r="L888" t="s">
        <v>74</v>
      </c>
      <c r="M888" t="s">
        <v>78</v>
      </c>
      <c r="N888" t="s">
        <v>79</v>
      </c>
      <c r="O888" t="s">
        <v>74</v>
      </c>
      <c r="P888" t="s">
        <v>74</v>
      </c>
      <c r="Q888" t="s">
        <v>74</v>
      </c>
      <c r="R888" t="s">
        <v>74</v>
      </c>
      <c r="S888" t="s">
        <v>74</v>
      </c>
      <c r="T888" t="s">
        <v>74</v>
      </c>
      <c r="U888" t="s">
        <v>13876</v>
      </c>
      <c r="V888" t="s">
        <v>13877</v>
      </c>
      <c r="W888" t="s">
        <v>13878</v>
      </c>
      <c r="X888" t="s">
        <v>13879</v>
      </c>
      <c r="Y888" t="s">
        <v>13880</v>
      </c>
      <c r="Z888" t="s">
        <v>13881</v>
      </c>
      <c r="AA888" t="s">
        <v>13882</v>
      </c>
      <c r="AB888" t="s">
        <v>74</v>
      </c>
      <c r="AC888" t="s">
        <v>74</v>
      </c>
      <c r="AD888" t="s">
        <v>74</v>
      </c>
      <c r="AE888" t="s">
        <v>74</v>
      </c>
      <c r="AF888" t="s">
        <v>74</v>
      </c>
      <c r="AG888">
        <v>36</v>
      </c>
      <c r="AH888">
        <v>30</v>
      </c>
      <c r="AI888">
        <v>31</v>
      </c>
      <c r="AJ888">
        <v>0</v>
      </c>
      <c r="AK888">
        <v>17</v>
      </c>
      <c r="AL888" t="s">
        <v>817</v>
      </c>
      <c r="AM888" t="s">
        <v>818</v>
      </c>
      <c r="AN888" t="s">
        <v>819</v>
      </c>
      <c r="AO888" t="s">
        <v>13883</v>
      </c>
      <c r="AP888" t="s">
        <v>74</v>
      </c>
      <c r="AQ888" t="s">
        <v>74</v>
      </c>
      <c r="AR888" t="s">
        <v>13884</v>
      </c>
      <c r="AS888" t="s">
        <v>13885</v>
      </c>
      <c r="AT888" t="s">
        <v>13673</v>
      </c>
      <c r="AU888">
        <v>2006</v>
      </c>
      <c r="AV888">
        <v>21</v>
      </c>
      <c r="AW888">
        <v>9</v>
      </c>
      <c r="AX888" t="s">
        <v>74</v>
      </c>
      <c r="AY888" t="s">
        <v>74</v>
      </c>
      <c r="AZ888" t="s">
        <v>74</v>
      </c>
      <c r="BA888" t="s">
        <v>74</v>
      </c>
      <c r="BB888">
        <v>1593</v>
      </c>
      <c r="BC888">
        <v>1612</v>
      </c>
      <c r="BD888" t="s">
        <v>74</v>
      </c>
      <c r="BE888" t="s">
        <v>13886</v>
      </c>
      <c r="BF888" t="str">
        <f>HYPERLINK("http://dx.doi.org/10.1016/j.apgeochem.2006.05.007","http://dx.doi.org/10.1016/j.apgeochem.2006.05.007")</f>
        <v>http://dx.doi.org/10.1016/j.apgeochem.2006.05.007</v>
      </c>
      <c r="BG888" t="s">
        <v>74</v>
      </c>
      <c r="BH888" t="s">
        <v>74</v>
      </c>
      <c r="BI888">
        <v>20</v>
      </c>
      <c r="BJ888" t="s">
        <v>865</v>
      </c>
      <c r="BK888" t="s">
        <v>97</v>
      </c>
      <c r="BL888" t="s">
        <v>865</v>
      </c>
      <c r="BM888" t="s">
        <v>13887</v>
      </c>
      <c r="BN888" t="s">
        <v>74</v>
      </c>
      <c r="BO888" t="s">
        <v>74</v>
      </c>
      <c r="BP888" t="s">
        <v>74</v>
      </c>
      <c r="BQ888" t="s">
        <v>74</v>
      </c>
      <c r="BR888" t="s">
        <v>100</v>
      </c>
      <c r="BS888" t="s">
        <v>13888</v>
      </c>
      <c r="BT888" t="str">
        <f>HYPERLINK("https%3A%2F%2Fwww.webofscience.com%2Fwos%2Fwoscc%2Ffull-record%2FWOS:000241096400009","View Full Record in Web of Science")</f>
        <v>View Full Record in Web of Science</v>
      </c>
    </row>
    <row r="889" spans="1:72" x14ac:dyDescent="0.15">
      <c r="A889" t="s">
        <v>72</v>
      </c>
      <c r="B889" t="s">
        <v>13889</v>
      </c>
      <c r="C889" t="s">
        <v>74</v>
      </c>
      <c r="D889" t="s">
        <v>74</v>
      </c>
      <c r="E889" t="s">
        <v>74</v>
      </c>
      <c r="F889" t="s">
        <v>13890</v>
      </c>
      <c r="G889" t="s">
        <v>74</v>
      </c>
      <c r="H889" t="s">
        <v>74</v>
      </c>
      <c r="I889" t="s">
        <v>13891</v>
      </c>
      <c r="J889" t="s">
        <v>13892</v>
      </c>
      <c r="K889" t="s">
        <v>74</v>
      </c>
      <c r="L889" t="s">
        <v>74</v>
      </c>
      <c r="M889" t="s">
        <v>78</v>
      </c>
      <c r="N889" t="s">
        <v>79</v>
      </c>
      <c r="O889" t="s">
        <v>74</v>
      </c>
      <c r="P889" t="s">
        <v>74</v>
      </c>
      <c r="Q889" t="s">
        <v>74</v>
      </c>
      <c r="R889" t="s">
        <v>74</v>
      </c>
      <c r="S889" t="s">
        <v>74</v>
      </c>
      <c r="T889" t="s">
        <v>13893</v>
      </c>
      <c r="U889" t="s">
        <v>13894</v>
      </c>
      <c r="V889" t="s">
        <v>13895</v>
      </c>
      <c r="W889" t="s">
        <v>13896</v>
      </c>
      <c r="X889" t="s">
        <v>13897</v>
      </c>
      <c r="Y889" t="s">
        <v>13898</v>
      </c>
      <c r="Z889" t="s">
        <v>13899</v>
      </c>
      <c r="AA889" t="s">
        <v>13900</v>
      </c>
      <c r="AB889" t="s">
        <v>13901</v>
      </c>
      <c r="AC889" t="s">
        <v>74</v>
      </c>
      <c r="AD889" t="s">
        <v>74</v>
      </c>
      <c r="AE889" t="s">
        <v>74</v>
      </c>
      <c r="AF889" t="s">
        <v>74</v>
      </c>
      <c r="AG889">
        <v>36</v>
      </c>
      <c r="AH889">
        <v>26</v>
      </c>
      <c r="AI889">
        <v>32</v>
      </c>
      <c r="AJ889">
        <v>11</v>
      </c>
      <c r="AK889">
        <v>15</v>
      </c>
      <c r="AL889" t="s">
        <v>2829</v>
      </c>
      <c r="AM889" t="s">
        <v>903</v>
      </c>
      <c r="AN889" t="s">
        <v>2830</v>
      </c>
      <c r="AO889" t="s">
        <v>13902</v>
      </c>
      <c r="AP889" t="s">
        <v>13903</v>
      </c>
      <c r="AQ889" t="s">
        <v>74</v>
      </c>
      <c r="AR889" t="s">
        <v>13904</v>
      </c>
      <c r="AS889" t="s">
        <v>13905</v>
      </c>
      <c r="AT889" t="s">
        <v>13673</v>
      </c>
      <c r="AU889">
        <v>2006</v>
      </c>
      <c r="AV889">
        <v>26</v>
      </c>
      <c r="AW889">
        <v>2</v>
      </c>
      <c r="AX889" t="s">
        <v>74</v>
      </c>
      <c r="AY889" t="s">
        <v>74</v>
      </c>
      <c r="AZ889" t="s">
        <v>74</v>
      </c>
      <c r="BA889" t="s">
        <v>74</v>
      </c>
      <c r="BB889">
        <v>129</v>
      </c>
      <c r="BC889">
        <v>139</v>
      </c>
      <c r="BD889" t="s">
        <v>74</v>
      </c>
      <c r="BE889" t="s">
        <v>13906</v>
      </c>
      <c r="BF889" t="str">
        <f>HYPERLINK("http://dx.doi.org/10.1016/j.astropartphys.2006.05.007","http://dx.doi.org/10.1016/j.astropartphys.2006.05.007")</f>
        <v>http://dx.doi.org/10.1016/j.astropartphys.2006.05.007</v>
      </c>
      <c r="BG889" t="s">
        <v>74</v>
      </c>
      <c r="BH889" t="s">
        <v>74</v>
      </c>
      <c r="BI889">
        <v>11</v>
      </c>
      <c r="BJ889" t="s">
        <v>5450</v>
      </c>
      <c r="BK889" t="s">
        <v>97</v>
      </c>
      <c r="BL889" t="s">
        <v>2494</v>
      </c>
      <c r="BM889" t="s">
        <v>13907</v>
      </c>
      <c r="BN889" t="s">
        <v>74</v>
      </c>
      <c r="BO889" t="s">
        <v>74</v>
      </c>
      <c r="BP889" t="s">
        <v>74</v>
      </c>
      <c r="BQ889" t="s">
        <v>74</v>
      </c>
      <c r="BR889" t="s">
        <v>100</v>
      </c>
      <c r="BS889" t="s">
        <v>13908</v>
      </c>
      <c r="BT889" t="str">
        <f>HYPERLINK("https%3A%2F%2Fwww.webofscience.com%2Fwos%2Fwoscc%2Ffull-record%2FWOS:000241141800006","View Full Record in Web of Science")</f>
        <v>View Full Record in Web of Science</v>
      </c>
    </row>
    <row r="890" spans="1:72" x14ac:dyDescent="0.15">
      <c r="A890" t="s">
        <v>72</v>
      </c>
      <c r="B890" t="s">
        <v>13909</v>
      </c>
      <c r="C890" t="s">
        <v>74</v>
      </c>
      <c r="D890" t="s">
        <v>74</v>
      </c>
      <c r="E890" t="s">
        <v>74</v>
      </c>
      <c r="F890" t="s">
        <v>13910</v>
      </c>
      <c r="G890" t="s">
        <v>74</v>
      </c>
      <c r="H890" t="s">
        <v>74</v>
      </c>
      <c r="I890" t="s">
        <v>13911</v>
      </c>
      <c r="J890" t="s">
        <v>13912</v>
      </c>
      <c r="K890" t="s">
        <v>74</v>
      </c>
      <c r="L890" t="s">
        <v>74</v>
      </c>
      <c r="M890" t="s">
        <v>78</v>
      </c>
      <c r="N890" t="s">
        <v>79</v>
      </c>
      <c r="O890" t="s">
        <v>74</v>
      </c>
      <c r="P890" t="s">
        <v>74</v>
      </c>
      <c r="Q890" t="s">
        <v>74</v>
      </c>
      <c r="R890" t="s">
        <v>74</v>
      </c>
      <c r="S890" t="s">
        <v>74</v>
      </c>
      <c r="T890" t="s">
        <v>13913</v>
      </c>
      <c r="U890" t="s">
        <v>13914</v>
      </c>
      <c r="V890" t="s">
        <v>13915</v>
      </c>
      <c r="W890" t="s">
        <v>13916</v>
      </c>
      <c r="X890" t="s">
        <v>9393</v>
      </c>
      <c r="Y890" t="s">
        <v>13917</v>
      </c>
      <c r="Z890" t="s">
        <v>9395</v>
      </c>
      <c r="AA890" t="s">
        <v>13918</v>
      </c>
      <c r="AB890" t="s">
        <v>13919</v>
      </c>
      <c r="AC890" t="s">
        <v>74</v>
      </c>
      <c r="AD890" t="s">
        <v>74</v>
      </c>
      <c r="AE890" t="s">
        <v>74</v>
      </c>
      <c r="AF890" t="s">
        <v>74</v>
      </c>
      <c r="AG890">
        <v>81</v>
      </c>
      <c r="AH890">
        <v>43</v>
      </c>
      <c r="AI890">
        <v>49</v>
      </c>
      <c r="AJ890">
        <v>0</v>
      </c>
      <c r="AK890">
        <v>37</v>
      </c>
      <c r="AL890" t="s">
        <v>159</v>
      </c>
      <c r="AM890" t="s">
        <v>160</v>
      </c>
      <c r="AN890" t="s">
        <v>161</v>
      </c>
      <c r="AO890" t="s">
        <v>13920</v>
      </c>
      <c r="AP890" t="s">
        <v>13921</v>
      </c>
      <c r="AQ890" t="s">
        <v>74</v>
      </c>
      <c r="AR890" t="s">
        <v>13922</v>
      </c>
      <c r="AS890" t="s">
        <v>13923</v>
      </c>
      <c r="AT890" t="s">
        <v>13673</v>
      </c>
      <c r="AU890">
        <v>2006</v>
      </c>
      <c r="AV890">
        <v>31</v>
      </c>
      <c r="AW890">
        <v>6</v>
      </c>
      <c r="AX890" t="s">
        <v>74</v>
      </c>
      <c r="AY890" t="s">
        <v>74</v>
      </c>
      <c r="AZ890" t="s">
        <v>74</v>
      </c>
      <c r="BA890" t="s">
        <v>74</v>
      </c>
      <c r="BB890">
        <v>719</v>
      </c>
      <c r="BC890">
        <v>731</v>
      </c>
      <c r="BD890" t="s">
        <v>74</v>
      </c>
      <c r="BE890" t="s">
        <v>13924</v>
      </c>
      <c r="BF890" t="str">
        <f>HYPERLINK("http://dx.doi.org/10.1111/j.1442-9993.2006.01614.x","http://dx.doi.org/10.1111/j.1442-9993.2006.01614.x")</f>
        <v>http://dx.doi.org/10.1111/j.1442-9993.2006.01614.x</v>
      </c>
      <c r="BG890" t="s">
        <v>74</v>
      </c>
      <c r="BH890" t="s">
        <v>74</v>
      </c>
      <c r="BI890">
        <v>13</v>
      </c>
      <c r="BJ890" t="s">
        <v>5787</v>
      </c>
      <c r="BK890" t="s">
        <v>97</v>
      </c>
      <c r="BL890" t="s">
        <v>226</v>
      </c>
      <c r="BM890" t="s">
        <v>13925</v>
      </c>
      <c r="BN890" t="s">
        <v>74</v>
      </c>
      <c r="BO890" t="s">
        <v>74</v>
      </c>
      <c r="BP890" t="s">
        <v>74</v>
      </c>
      <c r="BQ890" t="s">
        <v>74</v>
      </c>
      <c r="BR890" t="s">
        <v>100</v>
      </c>
      <c r="BS890" t="s">
        <v>13926</v>
      </c>
      <c r="BT890" t="str">
        <f>HYPERLINK("https%3A%2F%2Fwww.webofscience.com%2Fwos%2Fwoscc%2Ffull-record%2FWOS:000240562700005","View Full Record in Web of Science")</f>
        <v>View Full Record in Web of Science</v>
      </c>
    </row>
    <row r="891" spans="1:72" x14ac:dyDescent="0.15">
      <c r="A891" t="s">
        <v>72</v>
      </c>
      <c r="B891" t="s">
        <v>13927</v>
      </c>
      <c r="C891" t="s">
        <v>74</v>
      </c>
      <c r="D891" t="s">
        <v>74</v>
      </c>
      <c r="E891" t="s">
        <v>74</v>
      </c>
      <c r="F891" t="s">
        <v>13928</v>
      </c>
      <c r="G891" t="s">
        <v>74</v>
      </c>
      <c r="H891" t="s">
        <v>74</v>
      </c>
      <c r="I891" t="s">
        <v>13929</v>
      </c>
      <c r="J891" t="s">
        <v>13930</v>
      </c>
      <c r="K891" t="s">
        <v>74</v>
      </c>
      <c r="L891" t="s">
        <v>74</v>
      </c>
      <c r="M891" t="s">
        <v>78</v>
      </c>
      <c r="N891" t="s">
        <v>79</v>
      </c>
      <c r="O891" t="s">
        <v>74</v>
      </c>
      <c r="P891" t="s">
        <v>74</v>
      </c>
      <c r="Q891" t="s">
        <v>74</v>
      </c>
      <c r="R891" t="s">
        <v>74</v>
      </c>
      <c r="S891" t="s">
        <v>74</v>
      </c>
      <c r="T891" t="s">
        <v>74</v>
      </c>
      <c r="U891" t="s">
        <v>13931</v>
      </c>
      <c r="V891" t="s">
        <v>13932</v>
      </c>
      <c r="W891" t="s">
        <v>13933</v>
      </c>
      <c r="X891" t="s">
        <v>13934</v>
      </c>
      <c r="Y891" t="s">
        <v>13935</v>
      </c>
      <c r="Z891" t="s">
        <v>74</v>
      </c>
      <c r="AA891" t="s">
        <v>13936</v>
      </c>
      <c r="AB891" t="s">
        <v>13937</v>
      </c>
      <c r="AC891" t="s">
        <v>74</v>
      </c>
      <c r="AD891" t="s">
        <v>74</v>
      </c>
      <c r="AE891" t="s">
        <v>74</v>
      </c>
      <c r="AF891" t="s">
        <v>74</v>
      </c>
      <c r="AG891">
        <v>37</v>
      </c>
      <c r="AH891">
        <v>11</v>
      </c>
      <c r="AI891">
        <v>12</v>
      </c>
      <c r="AJ891">
        <v>0</v>
      </c>
      <c r="AK891">
        <v>12</v>
      </c>
      <c r="AL891" t="s">
        <v>4040</v>
      </c>
      <c r="AM891" t="s">
        <v>2429</v>
      </c>
      <c r="AN891" t="s">
        <v>6677</v>
      </c>
      <c r="AO891" t="s">
        <v>13938</v>
      </c>
      <c r="AP891" t="s">
        <v>74</v>
      </c>
      <c r="AQ891" t="s">
        <v>74</v>
      </c>
      <c r="AR891" t="s">
        <v>13939</v>
      </c>
      <c r="AS891" t="s">
        <v>13940</v>
      </c>
      <c r="AT891" t="s">
        <v>13673</v>
      </c>
      <c r="AU891">
        <v>2006</v>
      </c>
      <c r="AV891">
        <v>60</v>
      </c>
      <c r="AW891">
        <v>3</v>
      </c>
      <c r="AX891" t="s">
        <v>74</v>
      </c>
      <c r="AY891" t="s">
        <v>74</v>
      </c>
      <c r="AZ891" t="s">
        <v>74</v>
      </c>
      <c r="BA891" t="s">
        <v>74</v>
      </c>
      <c r="BB891">
        <v>439</v>
      </c>
      <c r="BC891">
        <v>456</v>
      </c>
      <c r="BD891" t="s">
        <v>74</v>
      </c>
      <c r="BE891" t="s">
        <v>13941</v>
      </c>
      <c r="BF891" t="str">
        <f>HYPERLINK("http://dx.doi.org/10.1080/10357710600865705","http://dx.doi.org/10.1080/10357710600865705")</f>
        <v>http://dx.doi.org/10.1080/10357710600865705</v>
      </c>
      <c r="BG891" t="s">
        <v>74</v>
      </c>
      <c r="BH891" t="s">
        <v>74</v>
      </c>
      <c r="BI891">
        <v>18</v>
      </c>
      <c r="BJ891" t="s">
        <v>13942</v>
      </c>
      <c r="BK891" t="s">
        <v>4048</v>
      </c>
      <c r="BL891" t="s">
        <v>13942</v>
      </c>
      <c r="BM891" t="s">
        <v>13943</v>
      </c>
      <c r="BN891" t="s">
        <v>74</v>
      </c>
      <c r="BO891" t="s">
        <v>1384</v>
      </c>
      <c r="BP891" t="s">
        <v>74</v>
      </c>
      <c r="BQ891" t="s">
        <v>74</v>
      </c>
      <c r="BR891" t="s">
        <v>100</v>
      </c>
      <c r="BS891" t="s">
        <v>13944</v>
      </c>
      <c r="BT891" t="str">
        <f>HYPERLINK("https%3A%2F%2Fwww.webofscience.com%2Fwos%2Fwoscc%2Ffull-record%2FWOS:000241053800009","View Full Record in Web of Science")</f>
        <v>View Full Record in Web of Science</v>
      </c>
    </row>
    <row r="892" spans="1:72" x14ac:dyDescent="0.15">
      <c r="A892" t="s">
        <v>72</v>
      </c>
      <c r="B892" t="s">
        <v>2920</v>
      </c>
      <c r="C892" t="s">
        <v>74</v>
      </c>
      <c r="D892" t="s">
        <v>74</v>
      </c>
      <c r="E892" t="s">
        <v>74</v>
      </c>
      <c r="F892" t="s">
        <v>2922</v>
      </c>
      <c r="G892" t="s">
        <v>74</v>
      </c>
      <c r="H892" t="s">
        <v>74</v>
      </c>
      <c r="I892" t="s">
        <v>13945</v>
      </c>
      <c r="J892" t="s">
        <v>13946</v>
      </c>
      <c r="K892" t="s">
        <v>74</v>
      </c>
      <c r="L892" t="s">
        <v>74</v>
      </c>
      <c r="M892" t="s">
        <v>78</v>
      </c>
      <c r="N892" t="s">
        <v>1431</v>
      </c>
      <c r="O892" t="s">
        <v>74</v>
      </c>
      <c r="P892" t="s">
        <v>74</v>
      </c>
      <c r="Q892" t="s">
        <v>74</v>
      </c>
      <c r="R892" t="s">
        <v>74</v>
      </c>
      <c r="S892" t="s">
        <v>74</v>
      </c>
      <c r="T892" t="s">
        <v>13947</v>
      </c>
      <c r="U892" t="s">
        <v>13948</v>
      </c>
      <c r="V892" t="s">
        <v>13949</v>
      </c>
      <c r="W892" t="s">
        <v>13950</v>
      </c>
      <c r="X892" t="s">
        <v>74</v>
      </c>
      <c r="Y892" t="s">
        <v>13951</v>
      </c>
      <c r="Z892" t="s">
        <v>13952</v>
      </c>
      <c r="AA892" t="s">
        <v>13953</v>
      </c>
      <c r="AB892" t="s">
        <v>13954</v>
      </c>
      <c r="AC892" t="s">
        <v>74</v>
      </c>
      <c r="AD892" t="s">
        <v>74</v>
      </c>
      <c r="AE892" t="s">
        <v>74</v>
      </c>
      <c r="AF892" t="s">
        <v>74</v>
      </c>
      <c r="AG892">
        <v>33</v>
      </c>
      <c r="AH892">
        <v>35</v>
      </c>
      <c r="AI892">
        <v>39</v>
      </c>
      <c r="AJ892">
        <v>0</v>
      </c>
      <c r="AK892">
        <v>20</v>
      </c>
      <c r="AL892" t="s">
        <v>13955</v>
      </c>
      <c r="AM892" t="s">
        <v>13956</v>
      </c>
      <c r="AN892" t="s">
        <v>13957</v>
      </c>
      <c r="AO892" t="s">
        <v>13958</v>
      </c>
      <c r="AP892" t="s">
        <v>74</v>
      </c>
      <c r="AQ892" t="s">
        <v>74</v>
      </c>
      <c r="AR892" t="s">
        <v>13959</v>
      </c>
      <c r="AS892" t="s">
        <v>13960</v>
      </c>
      <c r="AT892" t="s">
        <v>13673</v>
      </c>
      <c r="AU892">
        <v>2006</v>
      </c>
      <c r="AV892">
        <v>101</v>
      </c>
      <c r="AW892">
        <v>5</v>
      </c>
      <c r="AX892" t="s">
        <v>74</v>
      </c>
      <c r="AY892" t="s">
        <v>74</v>
      </c>
      <c r="AZ892" t="s">
        <v>74</v>
      </c>
      <c r="BA892" t="s">
        <v>74</v>
      </c>
      <c r="BB892">
        <v>408</v>
      </c>
      <c r="BC892">
        <v>417</v>
      </c>
      <c r="BD892" t="s">
        <v>74</v>
      </c>
      <c r="BE892" t="s">
        <v>13961</v>
      </c>
      <c r="BF892" t="str">
        <f>HYPERLINK("http://dx.doi.org/10.1007/s00395-006-0607-2","http://dx.doi.org/10.1007/s00395-006-0607-2")</f>
        <v>http://dx.doi.org/10.1007/s00395-006-0607-2</v>
      </c>
      <c r="BG892" t="s">
        <v>74</v>
      </c>
      <c r="BH892" t="s">
        <v>74</v>
      </c>
      <c r="BI892">
        <v>10</v>
      </c>
      <c r="BJ892" t="s">
        <v>13962</v>
      </c>
      <c r="BK892" t="s">
        <v>97</v>
      </c>
      <c r="BL892" t="s">
        <v>13963</v>
      </c>
      <c r="BM892" t="s">
        <v>13964</v>
      </c>
      <c r="BN892">
        <v>16915533</v>
      </c>
      <c r="BO892" t="s">
        <v>74</v>
      </c>
      <c r="BP892" t="s">
        <v>74</v>
      </c>
      <c r="BQ892" t="s">
        <v>74</v>
      </c>
      <c r="BR892" t="s">
        <v>100</v>
      </c>
      <c r="BS892" t="s">
        <v>13965</v>
      </c>
      <c r="BT892" t="str">
        <f>HYPERLINK("https%3A%2F%2Fwww.webofscience.com%2Fwos%2Fwoscc%2Ffull-record%2FWOS:000240060100007","View Full Record in Web of Science")</f>
        <v>View Full Record in Web of Science</v>
      </c>
    </row>
    <row r="893" spans="1:72" x14ac:dyDescent="0.15">
      <c r="A893" t="s">
        <v>72</v>
      </c>
      <c r="B893" t="s">
        <v>13966</v>
      </c>
      <c r="C893" t="s">
        <v>74</v>
      </c>
      <c r="D893" t="s">
        <v>74</v>
      </c>
      <c r="E893" t="s">
        <v>74</v>
      </c>
      <c r="F893" t="s">
        <v>13967</v>
      </c>
      <c r="G893" t="s">
        <v>74</v>
      </c>
      <c r="H893" t="s">
        <v>74</v>
      </c>
      <c r="I893" t="s">
        <v>13968</v>
      </c>
      <c r="J893" t="s">
        <v>13969</v>
      </c>
      <c r="K893" t="s">
        <v>74</v>
      </c>
      <c r="L893" t="s">
        <v>74</v>
      </c>
      <c r="M893" t="s">
        <v>78</v>
      </c>
      <c r="N893" t="s">
        <v>79</v>
      </c>
      <c r="O893" t="s">
        <v>74</v>
      </c>
      <c r="P893" t="s">
        <v>74</v>
      </c>
      <c r="Q893" t="s">
        <v>74</v>
      </c>
      <c r="R893" t="s">
        <v>74</v>
      </c>
      <c r="S893" t="s">
        <v>74</v>
      </c>
      <c r="T893" t="s">
        <v>13970</v>
      </c>
      <c r="U893" t="s">
        <v>13971</v>
      </c>
      <c r="V893" t="s">
        <v>13972</v>
      </c>
      <c r="W893" t="s">
        <v>13973</v>
      </c>
      <c r="X893" t="s">
        <v>13974</v>
      </c>
      <c r="Y893" t="s">
        <v>13975</v>
      </c>
      <c r="Z893" t="s">
        <v>13976</v>
      </c>
      <c r="AA893" t="s">
        <v>13977</v>
      </c>
      <c r="AB893" t="s">
        <v>13978</v>
      </c>
      <c r="AC893" t="s">
        <v>74</v>
      </c>
      <c r="AD893" t="s">
        <v>74</v>
      </c>
      <c r="AE893" t="s">
        <v>74</v>
      </c>
      <c r="AF893" t="s">
        <v>74</v>
      </c>
      <c r="AG893">
        <v>40</v>
      </c>
      <c r="AH893">
        <v>65</v>
      </c>
      <c r="AI893">
        <v>83</v>
      </c>
      <c r="AJ893">
        <v>1</v>
      </c>
      <c r="AK893">
        <v>60</v>
      </c>
      <c r="AL893" t="s">
        <v>613</v>
      </c>
      <c r="AM893" t="s">
        <v>614</v>
      </c>
      <c r="AN893" t="s">
        <v>1156</v>
      </c>
      <c r="AO893" t="s">
        <v>13979</v>
      </c>
      <c r="AP893" t="s">
        <v>13980</v>
      </c>
      <c r="AQ893" t="s">
        <v>74</v>
      </c>
      <c r="AR893" t="s">
        <v>13981</v>
      </c>
      <c r="AS893" t="s">
        <v>13982</v>
      </c>
      <c r="AT893" t="s">
        <v>13673</v>
      </c>
      <c r="AU893">
        <v>2006</v>
      </c>
      <c r="AV893">
        <v>15</v>
      </c>
      <c r="AW893">
        <v>10</v>
      </c>
      <c r="AX893" t="s">
        <v>74</v>
      </c>
      <c r="AY893" t="s">
        <v>74</v>
      </c>
      <c r="AZ893" t="s">
        <v>74</v>
      </c>
      <c r="BA893" t="s">
        <v>74</v>
      </c>
      <c r="BB893">
        <v>3295</v>
      </c>
      <c r="BC893">
        <v>3313</v>
      </c>
      <c r="BD893" t="s">
        <v>74</v>
      </c>
      <c r="BE893" t="s">
        <v>13983</v>
      </c>
      <c r="BF893" t="str">
        <f>HYPERLINK("http://dx.doi.org/10.1007/s10531-005-0605-y","http://dx.doi.org/10.1007/s10531-005-0605-y")</f>
        <v>http://dx.doi.org/10.1007/s10531-005-0605-y</v>
      </c>
      <c r="BG893" t="s">
        <v>74</v>
      </c>
      <c r="BH893" t="s">
        <v>74</v>
      </c>
      <c r="BI893">
        <v>19</v>
      </c>
      <c r="BJ893" t="s">
        <v>8469</v>
      </c>
      <c r="BK893" t="s">
        <v>97</v>
      </c>
      <c r="BL893" t="s">
        <v>5603</v>
      </c>
      <c r="BM893" t="s">
        <v>13984</v>
      </c>
      <c r="BN893" t="s">
        <v>74</v>
      </c>
      <c r="BO893" t="s">
        <v>74</v>
      </c>
      <c r="BP893" t="s">
        <v>74</v>
      </c>
      <c r="BQ893" t="s">
        <v>74</v>
      </c>
      <c r="BR893" t="s">
        <v>100</v>
      </c>
      <c r="BS893" t="s">
        <v>13985</v>
      </c>
      <c r="BT893" t="str">
        <f>HYPERLINK("https%3A%2F%2Fwww.webofscience.com%2Fwos%2Fwoscc%2Ffull-record%2FWOS:000241791200011","View Full Record in Web of Science")</f>
        <v>View Full Record in Web of Science</v>
      </c>
    </row>
    <row r="894" spans="1:72" x14ac:dyDescent="0.15">
      <c r="A894" t="s">
        <v>72</v>
      </c>
      <c r="B894" t="s">
        <v>13986</v>
      </c>
      <c r="C894" t="s">
        <v>74</v>
      </c>
      <c r="D894" t="s">
        <v>74</v>
      </c>
      <c r="E894" t="s">
        <v>74</v>
      </c>
      <c r="F894" t="s">
        <v>13987</v>
      </c>
      <c r="G894" t="s">
        <v>74</v>
      </c>
      <c r="H894" t="s">
        <v>74</v>
      </c>
      <c r="I894" t="s">
        <v>13988</v>
      </c>
      <c r="J894" t="s">
        <v>13989</v>
      </c>
      <c r="K894" t="s">
        <v>74</v>
      </c>
      <c r="L894" t="s">
        <v>74</v>
      </c>
      <c r="M894" t="s">
        <v>78</v>
      </c>
      <c r="N894" t="s">
        <v>79</v>
      </c>
      <c r="O894" t="s">
        <v>74</v>
      </c>
      <c r="P894" t="s">
        <v>74</v>
      </c>
      <c r="Q894" t="s">
        <v>74</v>
      </c>
      <c r="R894" t="s">
        <v>74</v>
      </c>
      <c r="S894" t="s">
        <v>74</v>
      </c>
      <c r="T894" t="s">
        <v>74</v>
      </c>
      <c r="U894" t="s">
        <v>13990</v>
      </c>
      <c r="V894" t="s">
        <v>13991</v>
      </c>
      <c r="W894" t="s">
        <v>12251</v>
      </c>
      <c r="X894" t="s">
        <v>776</v>
      </c>
      <c r="Y894" t="s">
        <v>13992</v>
      </c>
      <c r="Z894" t="s">
        <v>13993</v>
      </c>
      <c r="AA894" t="s">
        <v>13994</v>
      </c>
      <c r="AB894" t="s">
        <v>13995</v>
      </c>
      <c r="AC894" t="s">
        <v>74</v>
      </c>
      <c r="AD894" t="s">
        <v>74</v>
      </c>
      <c r="AE894" t="s">
        <v>74</v>
      </c>
      <c r="AF894" t="s">
        <v>74</v>
      </c>
      <c r="AG894">
        <v>10</v>
      </c>
      <c r="AH894">
        <v>17</v>
      </c>
      <c r="AI894">
        <v>19</v>
      </c>
      <c r="AJ894">
        <v>0</v>
      </c>
      <c r="AK894">
        <v>1</v>
      </c>
      <c r="AL894" t="s">
        <v>2467</v>
      </c>
      <c r="AM894" t="s">
        <v>818</v>
      </c>
      <c r="AN894" t="s">
        <v>2468</v>
      </c>
      <c r="AO894" t="s">
        <v>13996</v>
      </c>
      <c r="AP894" t="s">
        <v>13997</v>
      </c>
      <c r="AQ894" t="s">
        <v>74</v>
      </c>
      <c r="AR894" t="s">
        <v>13989</v>
      </c>
      <c r="AS894" t="s">
        <v>13998</v>
      </c>
      <c r="AT894" t="s">
        <v>13999</v>
      </c>
      <c r="AU894">
        <v>2006</v>
      </c>
      <c r="AV894">
        <v>22</v>
      </c>
      <c r="AW894">
        <v>17</v>
      </c>
      <c r="AX894" t="s">
        <v>74</v>
      </c>
      <c r="AY894" t="s">
        <v>74</v>
      </c>
      <c r="AZ894" t="s">
        <v>74</v>
      </c>
      <c r="BA894" t="s">
        <v>74</v>
      </c>
      <c r="BB894">
        <v>2160</v>
      </c>
      <c r="BC894">
        <v>2161</v>
      </c>
      <c r="BD894" t="s">
        <v>74</v>
      </c>
      <c r="BE894" t="s">
        <v>14000</v>
      </c>
      <c r="BF894" t="str">
        <f>HYPERLINK("http://dx.doi.org/10.1093/bioinformatics/btl330","http://dx.doi.org/10.1093/bioinformatics/btl330")</f>
        <v>http://dx.doi.org/10.1093/bioinformatics/btl330</v>
      </c>
      <c r="BG894" t="s">
        <v>74</v>
      </c>
      <c r="BH894" t="s">
        <v>74</v>
      </c>
      <c r="BI894">
        <v>2</v>
      </c>
      <c r="BJ894" t="s">
        <v>14001</v>
      </c>
      <c r="BK894" t="s">
        <v>97</v>
      </c>
      <c r="BL894" t="s">
        <v>14002</v>
      </c>
      <c r="BM894" t="s">
        <v>14003</v>
      </c>
      <c r="BN894">
        <v>16787976</v>
      </c>
      <c r="BO894" t="s">
        <v>3708</v>
      </c>
      <c r="BP894" t="s">
        <v>74</v>
      </c>
      <c r="BQ894" t="s">
        <v>74</v>
      </c>
      <c r="BR894" t="s">
        <v>100</v>
      </c>
      <c r="BS894" t="s">
        <v>14004</v>
      </c>
      <c r="BT894" t="str">
        <f>HYPERLINK("https%3A%2F%2Fwww.webofscience.com%2Fwos%2Fwoscc%2Ffull-record%2FWOS:000240433100016","View Full Record in Web of Science")</f>
        <v>View Full Record in Web of Science</v>
      </c>
    </row>
    <row r="895" spans="1:72" x14ac:dyDescent="0.15">
      <c r="A895" t="s">
        <v>72</v>
      </c>
      <c r="B895" t="s">
        <v>14005</v>
      </c>
      <c r="C895" t="s">
        <v>74</v>
      </c>
      <c r="D895" t="s">
        <v>74</v>
      </c>
      <c r="E895" t="s">
        <v>74</v>
      </c>
      <c r="F895" t="s">
        <v>14006</v>
      </c>
      <c r="G895" t="s">
        <v>74</v>
      </c>
      <c r="H895" t="s">
        <v>74</v>
      </c>
      <c r="I895" t="s">
        <v>14007</v>
      </c>
      <c r="J895" t="s">
        <v>14008</v>
      </c>
      <c r="K895" t="s">
        <v>74</v>
      </c>
      <c r="L895" t="s">
        <v>74</v>
      </c>
      <c r="M895" t="s">
        <v>78</v>
      </c>
      <c r="N895" t="s">
        <v>79</v>
      </c>
      <c r="O895" t="s">
        <v>74</v>
      </c>
      <c r="P895" t="s">
        <v>74</v>
      </c>
      <c r="Q895" t="s">
        <v>74</v>
      </c>
      <c r="R895" t="s">
        <v>74</v>
      </c>
      <c r="S895" t="s">
        <v>74</v>
      </c>
      <c r="T895" t="s">
        <v>14009</v>
      </c>
      <c r="U895" t="s">
        <v>14010</v>
      </c>
      <c r="V895" t="s">
        <v>14011</v>
      </c>
      <c r="W895" t="s">
        <v>14012</v>
      </c>
      <c r="X895" t="s">
        <v>14013</v>
      </c>
      <c r="Y895" t="s">
        <v>14014</v>
      </c>
      <c r="Z895" t="s">
        <v>14015</v>
      </c>
      <c r="AA895" t="s">
        <v>74</v>
      </c>
      <c r="AB895" t="s">
        <v>74</v>
      </c>
      <c r="AC895" t="s">
        <v>74</v>
      </c>
      <c r="AD895" t="s">
        <v>74</v>
      </c>
      <c r="AE895" t="s">
        <v>74</v>
      </c>
      <c r="AF895" t="s">
        <v>74</v>
      </c>
      <c r="AG895">
        <v>21</v>
      </c>
      <c r="AH895">
        <v>2</v>
      </c>
      <c r="AI895">
        <v>4</v>
      </c>
      <c r="AJ895">
        <v>0</v>
      </c>
      <c r="AK895">
        <v>1</v>
      </c>
      <c r="AL895" t="s">
        <v>14016</v>
      </c>
      <c r="AM895" t="s">
        <v>14017</v>
      </c>
      <c r="AN895" t="s">
        <v>14018</v>
      </c>
      <c r="AO895" t="s">
        <v>14019</v>
      </c>
      <c r="AP895" t="s">
        <v>74</v>
      </c>
      <c r="AQ895" t="s">
        <v>74</v>
      </c>
      <c r="AR895" t="s">
        <v>14008</v>
      </c>
      <c r="AS895" t="s">
        <v>14020</v>
      </c>
      <c r="AT895" t="s">
        <v>13673</v>
      </c>
      <c r="AU895">
        <v>2006</v>
      </c>
      <c r="AV895">
        <v>61</v>
      </c>
      <c r="AW895">
        <v>5</v>
      </c>
      <c r="AX895" t="s">
        <v>74</v>
      </c>
      <c r="AY895" t="s">
        <v>74</v>
      </c>
      <c r="AZ895" t="s">
        <v>74</v>
      </c>
      <c r="BA895" t="s">
        <v>74</v>
      </c>
      <c r="BB895">
        <v>627</v>
      </c>
      <c r="BC895">
        <v>629</v>
      </c>
      <c r="BD895" t="s">
        <v>74</v>
      </c>
      <c r="BE895" t="s">
        <v>14021</v>
      </c>
      <c r="BF895" t="str">
        <f>HYPERLINK("http://dx.doi.org/10.2478/s11756-006-0100-2","http://dx.doi.org/10.2478/s11756-006-0100-2")</f>
        <v>http://dx.doi.org/10.2478/s11756-006-0100-2</v>
      </c>
      <c r="BG895" t="s">
        <v>74</v>
      </c>
      <c r="BH895" t="s">
        <v>74</v>
      </c>
      <c r="BI895">
        <v>3</v>
      </c>
      <c r="BJ895" t="s">
        <v>5103</v>
      </c>
      <c r="BK895" t="s">
        <v>97</v>
      </c>
      <c r="BL895" t="s">
        <v>5104</v>
      </c>
      <c r="BM895" t="s">
        <v>14022</v>
      </c>
      <c r="BN895" t="s">
        <v>74</v>
      </c>
      <c r="BO895" t="s">
        <v>74</v>
      </c>
      <c r="BP895" t="s">
        <v>74</v>
      </c>
      <c r="BQ895" t="s">
        <v>74</v>
      </c>
      <c r="BR895" t="s">
        <v>100</v>
      </c>
      <c r="BS895" t="s">
        <v>14023</v>
      </c>
      <c r="BT895" t="str">
        <f>HYPERLINK("https%3A%2F%2Fwww.webofscience.com%2Fwos%2Fwoscc%2Ffull-record%2FWOS:000243710100028","View Full Record in Web of Science")</f>
        <v>View Full Record in Web of Science</v>
      </c>
    </row>
    <row r="896" spans="1:72" x14ac:dyDescent="0.15">
      <c r="A896" t="s">
        <v>72</v>
      </c>
      <c r="B896" t="s">
        <v>14024</v>
      </c>
      <c r="C896" t="s">
        <v>74</v>
      </c>
      <c r="D896" t="s">
        <v>74</v>
      </c>
      <c r="E896" t="s">
        <v>74</v>
      </c>
      <c r="F896" t="s">
        <v>14025</v>
      </c>
      <c r="G896" t="s">
        <v>74</v>
      </c>
      <c r="H896" t="s">
        <v>74</v>
      </c>
      <c r="I896" t="s">
        <v>14026</v>
      </c>
      <c r="J896" t="s">
        <v>14027</v>
      </c>
      <c r="K896" t="s">
        <v>74</v>
      </c>
      <c r="L896" t="s">
        <v>74</v>
      </c>
      <c r="M896" t="s">
        <v>78</v>
      </c>
      <c r="N896" t="s">
        <v>79</v>
      </c>
      <c r="O896" t="s">
        <v>74</v>
      </c>
      <c r="P896" t="s">
        <v>74</v>
      </c>
      <c r="Q896" t="s">
        <v>74</v>
      </c>
      <c r="R896" t="s">
        <v>74</v>
      </c>
      <c r="S896" t="s">
        <v>74</v>
      </c>
      <c r="T896" t="s">
        <v>14028</v>
      </c>
      <c r="U896" t="s">
        <v>14029</v>
      </c>
      <c r="V896" t="s">
        <v>14030</v>
      </c>
      <c r="W896" t="s">
        <v>14031</v>
      </c>
      <c r="X896" t="s">
        <v>14032</v>
      </c>
      <c r="Y896" t="s">
        <v>14033</v>
      </c>
      <c r="Z896" t="s">
        <v>14034</v>
      </c>
      <c r="AA896" t="s">
        <v>14035</v>
      </c>
      <c r="AB896" t="s">
        <v>14036</v>
      </c>
      <c r="AC896" t="s">
        <v>74</v>
      </c>
      <c r="AD896" t="s">
        <v>74</v>
      </c>
      <c r="AE896" t="s">
        <v>74</v>
      </c>
      <c r="AF896" t="s">
        <v>74</v>
      </c>
      <c r="AG896">
        <v>34</v>
      </c>
      <c r="AH896">
        <v>1</v>
      </c>
      <c r="AI896">
        <v>1</v>
      </c>
      <c r="AJ896">
        <v>0</v>
      </c>
      <c r="AK896">
        <v>3</v>
      </c>
      <c r="AL896" t="s">
        <v>14037</v>
      </c>
      <c r="AM896" t="s">
        <v>14038</v>
      </c>
      <c r="AN896" t="s">
        <v>14039</v>
      </c>
      <c r="AO896" t="s">
        <v>14040</v>
      </c>
      <c r="AP896" t="s">
        <v>74</v>
      </c>
      <c r="AQ896" t="s">
        <v>74</v>
      </c>
      <c r="AR896" t="s">
        <v>14041</v>
      </c>
      <c r="AS896" t="s">
        <v>14042</v>
      </c>
      <c r="AT896" t="s">
        <v>13673</v>
      </c>
      <c r="AU896">
        <v>2006</v>
      </c>
      <c r="AV896">
        <v>49</v>
      </c>
      <c r="AW896">
        <v>5</v>
      </c>
      <c r="AX896" t="s">
        <v>74</v>
      </c>
      <c r="AY896" t="s">
        <v>74</v>
      </c>
      <c r="AZ896" t="s">
        <v>74</v>
      </c>
      <c r="BA896" t="s">
        <v>74</v>
      </c>
      <c r="BB896">
        <v>825</v>
      </c>
      <c r="BC896">
        <v>833</v>
      </c>
      <c r="BD896" t="s">
        <v>74</v>
      </c>
      <c r="BE896" t="s">
        <v>14043</v>
      </c>
      <c r="BF896" t="str">
        <f>HYPERLINK("http://dx.doi.org/10.1590/S1516-89132006000600017","http://dx.doi.org/10.1590/S1516-89132006000600017")</f>
        <v>http://dx.doi.org/10.1590/S1516-89132006000600017</v>
      </c>
      <c r="BG896" t="s">
        <v>74</v>
      </c>
      <c r="BH896" t="s">
        <v>74</v>
      </c>
      <c r="BI896">
        <v>9</v>
      </c>
      <c r="BJ896" t="s">
        <v>5103</v>
      </c>
      <c r="BK896" t="s">
        <v>97</v>
      </c>
      <c r="BL896" t="s">
        <v>5104</v>
      </c>
      <c r="BM896" t="s">
        <v>14044</v>
      </c>
      <c r="BN896" t="s">
        <v>74</v>
      </c>
      <c r="BO896" t="s">
        <v>462</v>
      </c>
      <c r="BP896" t="s">
        <v>74</v>
      </c>
      <c r="BQ896" t="s">
        <v>74</v>
      </c>
      <c r="BR896" t="s">
        <v>100</v>
      </c>
      <c r="BS896" t="s">
        <v>14045</v>
      </c>
      <c r="BT896" t="str">
        <f>HYPERLINK("https%3A%2F%2Fwww.webofscience.com%2Fwos%2Fwoscc%2Ffull-record%2FWOS:000242722800017","View Full Record in Web of Science")</f>
        <v>View Full Record in Web of Science</v>
      </c>
    </row>
    <row r="897" spans="1:72" x14ac:dyDescent="0.15">
      <c r="A897" t="s">
        <v>72</v>
      </c>
      <c r="B897" t="s">
        <v>14046</v>
      </c>
      <c r="C897" t="s">
        <v>74</v>
      </c>
      <c r="D897" t="s">
        <v>74</v>
      </c>
      <c r="E897" t="s">
        <v>74</v>
      </c>
      <c r="F897" t="s">
        <v>14047</v>
      </c>
      <c r="G897" t="s">
        <v>74</v>
      </c>
      <c r="H897" t="s">
        <v>74</v>
      </c>
      <c r="I897" t="s">
        <v>14048</v>
      </c>
      <c r="J897" t="s">
        <v>14049</v>
      </c>
      <c r="K897" t="s">
        <v>74</v>
      </c>
      <c r="L897" t="s">
        <v>74</v>
      </c>
      <c r="M897" t="s">
        <v>78</v>
      </c>
      <c r="N897" t="s">
        <v>1431</v>
      </c>
      <c r="O897" t="s">
        <v>74</v>
      </c>
      <c r="P897" t="s">
        <v>74</v>
      </c>
      <c r="Q897" t="s">
        <v>74</v>
      </c>
      <c r="R897" t="s">
        <v>74</v>
      </c>
      <c r="S897" t="s">
        <v>74</v>
      </c>
      <c r="T897" t="s">
        <v>74</v>
      </c>
      <c r="U897" t="s">
        <v>14050</v>
      </c>
      <c r="V897" t="s">
        <v>74</v>
      </c>
      <c r="W897" t="s">
        <v>14051</v>
      </c>
      <c r="X897" t="s">
        <v>14052</v>
      </c>
      <c r="Y897" t="s">
        <v>14053</v>
      </c>
      <c r="Z897" t="s">
        <v>14054</v>
      </c>
      <c r="AA897" t="s">
        <v>14055</v>
      </c>
      <c r="AB897" t="s">
        <v>14056</v>
      </c>
      <c r="AC897" t="s">
        <v>74</v>
      </c>
      <c r="AD897" t="s">
        <v>74</v>
      </c>
      <c r="AE897" t="s">
        <v>74</v>
      </c>
      <c r="AF897" t="s">
        <v>74</v>
      </c>
      <c r="AG897">
        <v>4</v>
      </c>
      <c r="AH897">
        <v>3</v>
      </c>
      <c r="AI897">
        <v>3</v>
      </c>
      <c r="AJ897">
        <v>0</v>
      </c>
      <c r="AK897">
        <v>4</v>
      </c>
      <c r="AL897" t="s">
        <v>14057</v>
      </c>
      <c r="AM897" t="s">
        <v>678</v>
      </c>
      <c r="AN897" t="s">
        <v>5667</v>
      </c>
      <c r="AO897" t="s">
        <v>14058</v>
      </c>
      <c r="AP897" t="s">
        <v>74</v>
      </c>
      <c r="AQ897" t="s">
        <v>74</v>
      </c>
      <c r="AR897" t="s">
        <v>14059</v>
      </c>
      <c r="AS897" t="s">
        <v>14060</v>
      </c>
      <c r="AT897" t="s">
        <v>14061</v>
      </c>
      <c r="AU897">
        <v>2006</v>
      </c>
      <c r="AV897">
        <v>42</v>
      </c>
      <c r="AW897">
        <v>5</v>
      </c>
      <c r="AX897" t="s">
        <v>74</v>
      </c>
      <c r="AY897" t="s">
        <v>74</v>
      </c>
      <c r="AZ897" t="s">
        <v>74</v>
      </c>
      <c r="BA897" t="s">
        <v>74</v>
      </c>
      <c r="BB897">
        <v>621</v>
      </c>
      <c r="BC897">
        <v>622</v>
      </c>
      <c r="BD897" t="s">
        <v>74</v>
      </c>
      <c r="BE897" t="s">
        <v>14062</v>
      </c>
      <c r="BF897" t="str">
        <f>HYPERLINK("http://dx.doi.org/10.1007/s10600-006-0235-y","http://dx.doi.org/10.1007/s10600-006-0235-y")</f>
        <v>http://dx.doi.org/10.1007/s10600-006-0235-y</v>
      </c>
      <c r="BG897" t="s">
        <v>74</v>
      </c>
      <c r="BH897" t="s">
        <v>74</v>
      </c>
      <c r="BI897">
        <v>2</v>
      </c>
      <c r="BJ897" t="s">
        <v>14063</v>
      </c>
      <c r="BK897" t="s">
        <v>97</v>
      </c>
      <c r="BL897" t="s">
        <v>14064</v>
      </c>
      <c r="BM897" t="s">
        <v>14065</v>
      </c>
      <c r="BN897" t="s">
        <v>74</v>
      </c>
      <c r="BO897" t="s">
        <v>74</v>
      </c>
      <c r="BP897" t="s">
        <v>74</v>
      </c>
      <c r="BQ897" t="s">
        <v>74</v>
      </c>
      <c r="BR897" t="s">
        <v>100</v>
      </c>
      <c r="BS897" t="s">
        <v>14066</v>
      </c>
      <c r="BT897" t="str">
        <f>HYPERLINK("https%3A%2F%2Fwww.webofscience.com%2Fwos%2Fwoscc%2Ffull-record%2FWOS:000244222300037","View Full Record in Web of Science")</f>
        <v>View Full Record in Web of Science</v>
      </c>
    </row>
    <row r="898" spans="1:72" x14ac:dyDescent="0.15">
      <c r="A898" t="s">
        <v>72</v>
      </c>
      <c r="B898" t="s">
        <v>14067</v>
      </c>
      <c r="C898" t="s">
        <v>74</v>
      </c>
      <c r="D898" t="s">
        <v>74</v>
      </c>
      <c r="E898" t="s">
        <v>74</v>
      </c>
      <c r="F898" t="s">
        <v>14068</v>
      </c>
      <c r="G898" t="s">
        <v>74</v>
      </c>
      <c r="H898" t="s">
        <v>74</v>
      </c>
      <c r="I898" t="s">
        <v>14069</v>
      </c>
      <c r="J898" t="s">
        <v>14070</v>
      </c>
      <c r="K898" t="s">
        <v>74</v>
      </c>
      <c r="L898" t="s">
        <v>74</v>
      </c>
      <c r="M898" t="s">
        <v>78</v>
      </c>
      <c r="N898" t="s">
        <v>79</v>
      </c>
      <c r="O898" t="s">
        <v>74</v>
      </c>
      <c r="P898" t="s">
        <v>74</v>
      </c>
      <c r="Q898" t="s">
        <v>74</v>
      </c>
      <c r="R898" t="s">
        <v>74</v>
      </c>
      <c r="S898" t="s">
        <v>74</v>
      </c>
      <c r="T898" t="s">
        <v>14071</v>
      </c>
      <c r="U898" t="s">
        <v>74</v>
      </c>
      <c r="V898" t="s">
        <v>14072</v>
      </c>
      <c r="W898" t="s">
        <v>14073</v>
      </c>
      <c r="X898" t="s">
        <v>14074</v>
      </c>
      <c r="Y898" t="s">
        <v>14075</v>
      </c>
      <c r="Z898" t="s">
        <v>14076</v>
      </c>
      <c r="AA898" t="s">
        <v>74</v>
      </c>
      <c r="AB898" t="s">
        <v>14077</v>
      </c>
      <c r="AC898" t="s">
        <v>74</v>
      </c>
      <c r="AD898" t="s">
        <v>74</v>
      </c>
      <c r="AE898" t="s">
        <v>74</v>
      </c>
      <c r="AF898" t="s">
        <v>74</v>
      </c>
      <c r="AG898">
        <v>6</v>
      </c>
      <c r="AH898">
        <v>18</v>
      </c>
      <c r="AI898">
        <v>21</v>
      </c>
      <c r="AJ898">
        <v>0</v>
      </c>
      <c r="AK898">
        <v>15</v>
      </c>
      <c r="AL898" t="s">
        <v>902</v>
      </c>
      <c r="AM898" t="s">
        <v>903</v>
      </c>
      <c r="AN898" t="s">
        <v>5098</v>
      </c>
      <c r="AO898" t="s">
        <v>14078</v>
      </c>
      <c r="AP898" t="s">
        <v>74</v>
      </c>
      <c r="AQ898" t="s">
        <v>74</v>
      </c>
      <c r="AR898" t="s">
        <v>14079</v>
      </c>
      <c r="AS898" t="s">
        <v>14080</v>
      </c>
      <c r="AT898" t="s">
        <v>13673</v>
      </c>
      <c r="AU898">
        <v>2006</v>
      </c>
      <c r="AV898">
        <v>45</v>
      </c>
      <c r="AW898">
        <v>3</v>
      </c>
      <c r="AX898" t="s">
        <v>74</v>
      </c>
      <c r="AY898" t="s">
        <v>74</v>
      </c>
      <c r="AZ898" t="s">
        <v>74</v>
      </c>
      <c r="BA898" t="s">
        <v>74</v>
      </c>
      <c r="BB898">
        <v>166</v>
      </c>
      <c r="BC898">
        <v>177</v>
      </c>
      <c r="BD898" t="s">
        <v>74</v>
      </c>
      <c r="BE898" t="s">
        <v>14081</v>
      </c>
      <c r="BF898" t="str">
        <f>HYPERLINK("http://dx.doi.org/10.1016/j.coldregions.2006.03.005","http://dx.doi.org/10.1016/j.coldregions.2006.03.005")</f>
        <v>http://dx.doi.org/10.1016/j.coldregions.2006.03.005</v>
      </c>
      <c r="BG898" t="s">
        <v>74</v>
      </c>
      <c r="BH898" t="s">
        <v>74</v>
      </c>
      <c r="BI898">
        <v>12</v>
      </c>
      <c r="BJ898" t="s">
        <v>14082</v>
      </c>
      <c r="BK898" t="s">
        <v>97</v>
      </c>
      <c r="BL898" t="s">
        <v>14083</v>
      </c>
      <c r="BM898" t="s">
        <v>14084</v>
      </c>
      <c r="BN898" t="s">
        <v>74</v>
      </c>
      <c r="BO898" t="s">
        <v>74</v>
      </c>
      <c r="BP898" t="s">
        <v>74</v>
      </c>
      <c r="BQ898" t="s">
        <v>74</v>
      </c>
      <c r="BR898" t="s">
        <v>100</v>
      </c>
      <c r="BS898" t="s">
        <v>14085</v>
      </c>
      <c r="BT898" t="str">
        <f>HYPERLINK("https%3A%2F%2Fwww.webofscience.com%2Fwos%2Fwoscc%2Ffull-record%2FWOS:000240280300005","View Full Record in Web of Science")</f>
        <v>View Full Record in Web of Science</v>
      </c>
    </row>
    <row r="899" spans="1:72" x14ac:dyDescent="0.15">
      <c r="A899" t="s">
        <v>72</v>
      </c>
      <c r="B899" t="s">
        <v>14086</v>
      </c>
      <c r="C899" t="s">
        <v>74</v>
      </c>
      <c r="D899" t="s">
        <v>74</v>
      </c>
      <c r="E899" t="s">
        <v>74</v>
      </c>
      <c r="F899" t="s">
        <v>14087</v>
      </c>
      <c r="G899" t="s">
        <v>74</v>
      </c>
      <c r="H899" t="s">
        <v>74</v>
      </c>
      <c r="I899" t="s">
        <v>14088</v>
      </c>
      <c r="J899" t="s">
        <v>14089</v>
      </c>
      <c r="K899" t="s">
        <v>74</v>
      </c>
      <c r="L899" t="s">
        <v>74</v>
      </c>
      <c r="M899" t="s">
        <v>78</v>
      </c>
      <c r="N899" t="s">
        <v>79</v>
      </c>
      <c r="O899" t="s">
        <v>74</v>
      </c>
      <c r="P899" t="s">
        <v>74</v>
      </c>
      <c r="Q899" t="s">
        <v>74</v>
      </c>
      <c r="R899" t="s">
        <v>74</v>
      </c>
      <c r="S899" t="s">
        <v>74</v>
      </c>
      <c r="T899" t="s">
        <v>14090</v>
      </c>
      <c r="U899" t="s">
        <v>14091</v>
      </c>
      <c r="V899" t="s">
        <v>14092</v>
      </c>
      <c r="W899" t="s">
        <v>7668</v>
      </c>
      <c r="X899" t="s">
        <v>1829</v>
      </c>
      <c r="Y899" t="s">
        <v>14093</v>
      </c>
      <c r="Z899" t="s">
        <v>14094</v>
      </c>
      <c r="AA899" t="s">
        <v>14095</v>
      </c>
      <c r="AB899" t="s">
        <v>14096</v>
      </c>
      <c r="AC899" t="s">
        <v>74</v>
      </c>
      <c r="AD899" t="s">
        <v>74</v>
      </c>
      <c r="AE899" t="s">
        <v>74</v>
      </c>
      <c r="AF899" t="s">
        <v>74</v>
      </c>
      <c r="AG899">
        <v>54</v>
      </c>
      <c r="AH899">
        <v>47</v>
      </c>
      <c r="AI899">
        <v>50</v>
      </c>
      <c r="AJ899">
        <v>3</v>
      </c>
      <c r="AK899">
        <v>22</v>
      </c>
      <c r="AL899" t="s">
        <v>838</v>
      </c>
      <c r="AM899" t="s">
        <v>678</v>
      </c>
      <c r="AN899" t="s">
        <v>839</v>
      </c>
      <c r="AO899" t="s">
        <v>14097</v>
      </c>
      <c r="AP899" t="s">
        <v>14098</v>
      </c>
      <c r="AQ899" t="s">
        <v>74</v>
      </c>
      <c r="AR899" t="s">
        <v>14099</v>
      </c>
      <c r="AS899" t="s">
        <v>14100</v>
      </c>
      <c r="AT899" t="s">
        <v>13673</v>
      </c>
      <c r="AU899">
        <v>2006</v>
      </c>
      <c r="AV899">
        <v>1</v>
      </c>
      <c r="AW899">
        <v>3</v>
      </c>
      <c r="AX899" t="s">
        <v>74</v>
      </c>
      <c r="AY899" t="s">
        <v>74</v>
      </c>
      <c r="AZ899" t="s">
        <v>74</v>
      </c>
      <c r="BA899" t="s">
        <v>74</v>
      </c>
      <c r="BB899">
        <v>365</v>
      </c>
      <c r="BC899">
        <v>374</v>
      </c>
      <c r="BD899" t="s">
        <v>74</v>
      </c>
      <c r="BE899" t="s">
        <v>14101</v>
      </c>
      <c r="BF899" t="str">
        <f>HYPERLINK("http://dx.doi.org/10.1016/j.cbd.2006.08.004","http://dx.doi.org/10.1016/j.cbd.2006.08.004")</f>
        <v>http://dx.doi.org/10.1016/j.cbd.2006.08.004</v>
      </c>
      <c r="BG899" t="s">
        <v>74</v>
      </c>
      <c r="BH899" t="s">
        <v>74</v>
      </c>
      <c r="BI899">
        <v>10</v>
      </c>
      <c r="BJ899" t="s">
        <v>14102</v>
      </c>
      <c r="BK899" t="s">
        <v>97</v>
      </c>
      <c r="BL899" t="s">
        <v>14102</v>
      </c>
      <c r="BM899" t="s">
        <v>14103</v>
      </c>
      <c r="BN899">
        <v>20483268</v>
      </c>
      <c r="BO899" t="s">
        <v>1314</v>
      </c>
      <c r="BP899" t="s">
        <v>74</v>
      </c>
      <c r="BQ899" t="s">
        <v>74</v>
      </c>
      <c r="BR899" t="s">
        <v>100</v>
      </c>
      <c r="BS899" t="s">
        <v>14104</v>
      </c>
      <c r="BT899" t="str">
        <f>HYPERLINK("https%3A%2F%2Fwww.webofscience.com%2Fwos%2Fwoscc%2Ffull-record%2FWOS:000241775200011","View Full Record in Web of Science")</f>
        <v>View Full Record in Web of Science</v>
      </c>
    </row>
    <row r="900" spans="1:72" x14ac:dyDescent="0.15">
      <c r="A900" t="s">
        <v>72</v>
      </c>
      <c r="B900" t="s">
        <v>14105</v>
      </c>
      <c r="C900" t="s">
        <v>74</v>
      </c>
      <c r="D900" t="s">
        <v>74</v>
      </c>
      <c r="E900" t="s">
        <v>74</v>
      </c>
      <c r="F900" t="s">
        <v>14106</v>
      </c>
      <c r="G900" t="s">
        <v>74</v>
      </c>
      <c r="H900" t="s">
        <v>74</v>
      </c>
      <c r="I900" t="s">
        <v>14107</v>
      </c>
      <c r="J900" t="s">
        <v>1188</v>
      </c>
      <c r="K900" t="s">
        <v>74</v>
      </c>
      <c r="L900" t="s">
        <v>74</v>
      </c>
      <c r="M900" t="s">
        <v>78</v>
      </c>
      <c r="N900" t="s">
        <v>79</v>
      </c>
      <c r="O900" t="s">
        <v>74</v>
      </c>
      <c r="P900" t="s">
        <v>74</v>
      </c>
      <c r="Q900" t="s">
        <v>74</v>
      </c>
      <c r="R900" t="s">
        <v>74</v>
      </c>
      <c r="S900" t="s">
        <v>74</v>
      </c>
      <c r="T900" t="s">
        <v>14108</v>
      </c>
      <c r="U900" t="s">
        <v>14109</v>
      </c>
      <c r="V900" t="s">
        <v>14110</v>
      </c>
      <c r="W900" t="s">
        <v>4654</v>
      </c>
      <c r="X900" t="s">
        <v>514</v>
      </c>
      <c r="Y900" t="s">
        <v>14111</v>
      </c>
      <c r="Z900" t="s">
        <v>5059</v>
      </c>
      <c r="AA900" t="s">
        <v>14112</v>
      </c>
      <c r="AB900" t="s">
        <v>3920</v>
      </c>
      <c r="AC900" t="s">
        <v>74</v>
      </c>
      <c r="AD900" t="s">
        <v>74</v>
      </c>
      <c r="AE900" t="s">
        <v>74</v>
      </c>
      <c r="AF900" t="s">
        <v>74</v>
      </c>
      <c r="AG900">
        <v>17</v>
      </c>
      <c r="AH900">
        <v>21</v>
      </c>
      <c r="AI900">
        <v>26</v>
      </c>
      <c r="AJ900">
        <v>1</v>
      </c>
      <c r="AK900">
        <v>13</v>
      </c>
      <c r="AL900" t="s">
        <v>1196</v>
      </c>
      <c r="AM900" t="s">
        <v>1197</v>
      </c>
      <c r="AN900" t="s">
        <v>1198</v>
      </c>
      <c r="AO900" t="s">
        <v>1199</v>
      </c>
      <c r="AP900" t="s">
        <v>1200</v>
      </c>
      <c r="AQ900" t="s">
        <v>74</v>
      </c>
      <c r="AR900" t="s">
        <v>1188</v>
      </c>
      <c r="AS900" t="s">
        <v>1201</v>
      </c>
      <c r="AT900" t="s">
        <v>14061</v>
      </c>
      <c r="AU900">
        <v>2006</v>
      </c>
      <c r="AV900">
        <v>27</v>
      </c>
      <c r="AW900">
        <v>5</v>
      </c>
      <c r="AX900" t="s">
        <v>74</v>
      </c>
      <c r="AY900" t="s">
        <v>74</v>
      </c>
      <c r="AZ900" t="s">
        <v>74</v>
      </c>
      <c r="BA900" t="s">
        <v>74</v>
      </c>
      <c r="BB900">
        <v>291</v>
      </c>
      <c r="BC900">
        <v>294</v>
      </c>
      <c r="BD900" t="s">
        <v>74</v>
      </c>
      <c r="BE900" t="s">
        <v>74</v>
      </c>
      <c r="BF900" t="s">
        <v>74</v>
      </c>
      <c r="BG900" t="s">
        <v>74</v>
      </c>
      <c r="BH900" t="s">
        <v>74</v>
      </c>
      <c r="BI900">
        <v>4</v>
      </c>
      <c r="BJ900" t="s">
        <v>1202</v>
      </c>
      <c r="BK900" t="s">
        <v>97</v>
      </c>
      <c r="BL900" t="s">
        <v>1203</v>
      </c>
      <c r="BM900" t="s">
        <v>14113</v>
      </c>
      <c r="BN900">
        <v>17256060</v>
      </c>
      <c r="BO900" t="s">
        <v>74</v>
      </c>
      <c r="BP900" t="s">
        <v>74</v>
      </c>
      <c r="BQ900" t="s">
        <v>74</v>
      </c>
      <c r="BR900" t="s">
        <v>100</v>
      </c>
      <c r="BS900" t="s">
        <v>14114</v>
      </c>
      <c r="BT900" t="str">
        <f>HYPERLINK("https%3A%2F%2Fwww.webofscience.com%2Fwos%2Fwoscc%2Ffull-record%2FWOS:000242713700003","View Full Record in Web of Science")</f>
        <v>View Full Record in Web of Science</v>
      </c>
    </row>
    <row r="901" spans="1:72" x14ac:dyDescent="0.15">
      <c r="A901" t="s">
        <v>72</v>
      </c>
      <c r="B901" t="s">
        <v>14115</v>
      </c>
      <c r="C901" t="s">
        <v>74</v>
      </c>
      <c r="D901" t="s">
        <v>74</v>
      </c>
      <c r="E901" t="s">
        <v>74</v>
      </c>
      <c r="F901" t="s">
        <v>14116</v>
      </c>
      <c r="G901" t="s">
        <v>74</v>
      </c>
      <c r="H901" t="s">
        <v>74</v>
      </c>
      <c r="I901" t="s">
        <v>14117</v>
      </c>
      <c r="J901" t="s">
        <v>1243</v>
      </c>
      <c r="K901" t="s">
        <v>74</v>
      </c>
      <c r="L901" t="s">
        <v>74</v>
      </c>
      <c r="M901" t="s">
        <v>78</v>
      </c>
      <c r="N901" t="s">
        <v>79</v>
      </c>
      <c r="O901" t="s">
        <v>74</v>
      </c>
      <c r="P901" t="s">
        <v>74</v>
      </c>
      <c r="Q901" t="s">
        <v>74</v>
      </c>
      <c r="R901" t="s">
        <v>74</v>
      </c>
      <c r="S901" t="s">
        <v>74</v>
      </c>
      <c r="T901" t="s">
        <v>14118</v>
      </c>
      <c r="U901" t="s">
        <v>14119</v>
      </c>
      <c r="V901" t="s">
        <v>14120</v>
      </c>
      <c r="W901" t="s">
        <v>14121</v>
      </c>
      <c r="X901" t="s">
        <v>14122</v>
      </c>
      <c r="Y901" t="s">
        <v>14123</v>
      </c>
      <c r="Z901" t="s">
        <v>14124</v>
      </c>
      <c r="AA901" t="s">
        <v>74</v>
      </c>
      <c r="AB901" t="s">
        <v>14125</v>
      </c>
      <c r="AC901" t="s">
        <v>74</v>
      </c>
      <c r="AD901" t="s">
        <v>74</v>
      </c>
      <c r="AE901" t="s">
        <v>74</v>
      </c>
      <c r="AF901" t="s">
        <v>74</v>
      </c>
      <c r="AG901">
        <v>57</v>
      </c>
      <c r="AH901">
        <v>84</v>
      </c>
      <c r="AI901">
        <v>92</v>
      </c>
      <c r="AJ901">
        <v>1</v>
      </c>
      <c r="AK901">
        <v>14</v>
      </c>
      <c r="AL901" t="s">
        <v>817</v>
      </c>
      <c r="AM901" t="s">
        <v>818</v>
      </c>
      <c r="AN901" t="s">
        <v>819</v>
      </c>
      <c r="AO901" t="s">
        <v>1255</v>
      </c>
      <c r="AP901" t="s">
        <v>74</v>
      </c>
      <c r="AQ901" t="s">
        <v>74</v>
      </c>
      <c r="AR901" t="s">
        <v>1257</v>
      </c>
      <c r="AS901" t="s">
        <v>1258</v>
      </c>
      <c r="AT901" t="s">
        <v>13673</v>
      </c>
      <c r="AU901">
        <v>2006</v>
      </c>
      <c r="AV901">
        <v>53</v>
      </c>
      <c r="AW901">
        <v>9</v>
      </c>
      <c r="AX901" t="s">
        <v>74</v>
      </c>
      <c r="AY901" t="s">
        <v>74</v>
      </c>
      <c r="AZ901" t="s">
        <v>74</v>
      </c>
      <c r="BA901" t="s">
        <v>74</v>
      </c>
      <c r="BB901">
        <v>1548</v>
      </c>
      <c r="BC901">
        <v>1563</v>
      </c>
      <c r="BD901" t="s">
        <v>74</v>
      </c>
      <c r="BE901" t="s">
        <v>14126</v>
      </c>
      <c r="BF901" t="str">
        <f>HYPERLINK("http://dx.doi.org/10.1016/j.dsr.2006.07.006","http://dx.doi.org/10.1016/j.dsr.2006.07.006")</f>
        <v>http://dx.doi.org/10.1016/j.dsr.2006.07.006</v>
      </c>
      <c r="BG901" t="s">
        <v>74</v>
      </c>
      <c r="BH901" t="s">
        <v>74</v>
      </c>
      <c r="BI901">
        <v>16</v>
      </c>
      <c r="BJ901" t="s">
        <v>1260</v>
      </c>
      <c r="BK901" t="s">
        <v>97</v>
      </c>
      <c r="BL901" t="s">
        <v>1260</v>
      </c>
      <c r="BM901" t="s">
        <v>14127</v>
      </c>
      <c r="BN901" t="s">
        <v>74</v>
      </c>
      <c r="BO901" t="s">
        <v>74</v>
      </c>
      <c r="BP901" t="s">
        <v>74</v>
      </c>
      <c r="BQ901" t="s">
        <v>74</v>
      </c>
      <c r="BR901" t="s">
        <v>100</v>
      </c>
      <c r="BS901" t="s">
        <v>14128</v>
      </c>
      <c r="BT901" t="str">
        <f>HYPERLINK("https%3A%2F%2Fwww.webofscience.com%2Fwos%2Fwoscc%2Ffull-record%2FWOS:000242126500006","View Full Record in Web of Science")</f>
        <v>View Full Record in Web of Science</v>
      </c>
    </row>
    <row r="902" spans="1:72" x14ac:dyDescent="0.15">
      <c r="A902" t="s">
        <v>72</v>
      </c>
      <c r="B902" t="s">
        <v>14129</v>
      </c>
      <c r="C902" t="s">
        <v>74</v>
      </c>
      <c r="D902" t="s">
        <v>74</v>
      </c>
      <c r="E902" t="s">
        <v>74</v>
      </c>
      <c r="F902" t="s">
        <v>14130</v>
      </c>
      <c r="G902" t="s">
        <v>74</v>
      </c>
      <c r="H902" t="s">
        <v>74</v>
      </c>
      <c r="I902" t="s">
        <v>14131</v>
      </c>
      <c r="J902" t="s">
        <v>2370</v>
      </c>
      <c r="K902" t="s">
        <v>74</v>
      </c>
      <c r="L902" t="s">
        <v>74</v>
      </c>
      <c r="M902" t="s">
        <v>78</v>
      </c>
      <c r="N902" t="s">
        <v>79</v>
      </c>
      <c r="O902" t="s">
        <v>74</v>
      </c>
      <c r="P902" t="s">
        <v>74</v>
      </c>
      <c r="Q902" t="s">
        <v>74</v>
      </c>
      <c r="R902" t="s">
        <v>74</v>
      </c>
      <c r="S902" t="s">
        <v>74</v>
      </c>
      <c r="T902" t="s">
        <v>74</v>
      </c>
      <c r="U902" t="s">
        <v>14132</v>
      </c>
      <c r="V902" t="s">
        <v>14133</v>
      </c>
      <c r="W902" t="s">
        <v>14134</v>
      </c>
      <c r="X902" t="s">
        <v>14135</v>
      </c>
      <c r="Y902" t="s">
        <v>14136</v>
      </c>
      <c r="Z902" t="s">
        <v>14137</v>
      </c>
      <c r="AA902" t="s">
        <v>14138</v>
      </c>
      <c r="AB902" t="s">
        <v>14139</v>
      </c>
      <c r="AC902" t="s">
        <v>14140</v>
      </c>
      <c r="AD902" t="s">
        <v>14141</v>
      </c>
      <c r="AE902" t="s">
        <v>74</v>
      </c>
      <c r="AF902" t="s">
        <v>74</v>
      </c>
      <c r="AG902">
        <v>67</v>
      </c>
      <c r="AH902">
        <v>64</v>
      </c>
      <c r="AI902">
        <v>79</v>
      </c>
      <c r="AJ902">
        <v>0</v>
      </c>
      <c r="AK902">
        <v>19</v>
      </c>
      <c r="AL902" t="s">
        <v>159</v>
      </c>
      <c r="AM902" t="s">
        <v>160</v>
      </c>
      <c r="AN902" t="s">
        <v>161</v>
      </c>
      <c r="AO902" t="s">
        <v>2379</v>
      </c>
      <c r="AP902" t="s">
        <v>2380</v>
      </c>
      <c r="AQ902" t="s">
        <v>74</v>
      </c>
      <c r="AR902" t="s">
        <v>2381</v>
      </c>
      <c r="AS902" t="s">
        <v>2382</v>
      </c>
      <c r="AT902" t="s">
        <v>13673</v>
      </c>
      <c r="AU902">
        <v>2006</v>
      </c>
      <c r="AV902">
        <v>8</v>
      </c>
      <c r="AW902">
        <v>9</v>
      </c>
      <c r="AX902" t="s">
        <v>74</v>
      </c>
      <c r="AY902" t="s">
        <v>74</v>
      </c>
      <c r="AZ902" t="s">
        <v>74</v>
      </c>
      <c r="BA902" t="s">
        <v>74</v>
      </c>
      <c r="BB902">
        <v>1523</v>
      </c>
      <c r="BC902">
        <v>1533</v>
      </c>
      <c r="BD902" t="s">
        <v>74</v>
      </c>
      <c r="BE902" t="s">
        <v>14142</v>
      </c>
      <c r="BF902" t="str">
        <f>HYPERLINK("http://dx.doi.org/10.1111/j.1462-2920.2006.01043.x","http://dx.doi.org/10.1111/j.1462-2920.2006.01043.x")</f>
        <v>http://dx.doi.org/10.1111/j.1462-2920.2006.01043.x</v>
      </c>
      <c r="BG902" t="s">
        <v>74</v>
      </c>
      <c r="BH902" t="s">
        <v>74</v>
      </c>
      <c r="BI902">
        <v>11</v>
      </c>
      <c r="BJ902" t="s">
        <v>2384</v>
      </c>
      <c r="BK902" t="s">
        <v>97</v>
      </c>
      <c r="BL902" t="s">
        <v>2384</v>
      </c>
      <c r="BM902" t="s">
        <v>14143</v>
      </c>
      <c r="BN902">
        <v>16913913</v>
      </c>
      <c r="BO902" t="s">
        <v>3355</v>
      </c>
      <c r="BP902" t="s">
        <v>74</v>
      </c>
      <c r="BQ902" t="s">
        <v>74</v>
      </c>
      <c r="BR902" t="s">
        <v>100</v>
      </c>
      <c r="BS902" t="s">
        <v>14144</v>
      </c>
      <c r="BT902" t="str">
        <f>HYPERLINK("https%3A%2F%2Fwww.webofscience.com%2Fwos%2Fwoscc%2Ffull-record%2FWOS:000239510600004","View Full Record in Web of Science")</f>
        <v>View Full Record in Web of Science</v>
      </c>
    </row>
    <row r="903" spans="1:72" x14ac:dyDescent="0.15">
      <c r="A903" t="s">
        <v>72</v>
      </c>
      <c r="B903" t="s">
        <v>14145</v>
      </c>
      <c r="C903" t="s">
        <v>74</v>
      </c>
      <c r="D903" t="s">
        <v>74</v>
      </c>
      <c r="E903" t="s">
        <v>74</v>
      </c>
      <c r="F903" t="s">
        <v>14146</v>
      </c>
      <c r="G903" t="s">
        <v>74</v>
      </c>
      <c r="H903" t="s">
        <v>74</v>
      </c>
      <c r="I903" t="s">
        <v>14147</v>
      </c>
      <c r="J903" t="s">
        <v>14148</v>
      </c>
      <c r="K903" t="s">
        <v>74</v>
      </c>
      <c r="L903" t="s">
        <v>74</v>
      </c>
      <c r="M903" t="s">
        <v>78</v>
      </c>
      <c r="N903" t="s">
        <v>176</v>
      </c>
      <c r="O903" t="s">
        <v>14149</v>
      </c>
      <c r="P903">
        <v>2003</v>
      </c>
      <c r="Q903" t="s">
        <v>14150</v>
      </c>
      <c r="R903" t="s">
        <v>74</v>
      </c>
      <c r="S903" t="s">
        <v>74</v>
      </c>
      <c r="T903" t="s">
        <v>14151</v>
      </c>
      <c r="U903" t="s">
        <v>14152</v>
      </c>
      <c r="V903" t="s">
        <v>14153</v>
      </c>
      <c r="W903" t="s">
        <v>14154</v>
      </c>
      <c r="X903" t="s">
        <v>14155</v>
      </c>
      <c r="Y903" t="s">
        <v>14156</v>
      </c>
      <c r="Z903" t="s">
        <v>14157</v>
      </c>
      <c r="AA903" t="s">
        <v>14158</v>
      </c>
      <c r="AB903" t="s">
        <v>14159</v>
      </c>
      <c r="AC903" t="s">
        <v>74</v>
      </c>
      <c r="AD903" t="s">
        <v>74</v>
      </c>
      <c r="AE903" t="s">
        <v>74</v>
      </c>
      <c r="AF903" t="s">
        <v>74</v>
      </c>
      <c r="AG903">
        <v>40</v>
      </c>
      <c r="AH903">
        <v>111</v>
      </c>
      <c r="AI903">
        <v>124</v>
      </c>
      <c r="AJ903">
        <v>0</v>
      </c>
      <c r="AK903">
        <v>46</v>
      </c>
      <c r="AL903" t="s">
        <v>3389</v>
      </c>
      <c r="AM903" t="s">
        <v>818</v>
      </c>
      <c r="AN903" t="s">
        <v>3390</v>
      </c>
      <c r="AO903" t="s">
        <v>14160</v>
      </c>
      <c r="AP903" t="s">
        <v>14161</v>
      </c>
      <c r="AQ903" t="s">
        <v>74</v>
      </c>
      <c r="AR903" t="s">
        <v>14162</v>
      </c>
      <c r="AS903" t="s">
        <v>14163</v>
      </c>
      <c r="AT903" t="s">
        <v>13673</v>
      </c>
      <c r="AU903">
        <v>2006</v>
      </c>
      <c r="AV903">
        <v>21</v>
      </c>
      <c r="AW903">
        <v>9</v>
      </c>
      <c r="AX903" t="s">
        <v>74</v>
      </c>
      <c r="AY903" t="s">
        <v>74</v>
      </c>
      <c r="AZ903" t="s">
        <v>74</v>
      </c>
      <c r="BA903" t="s">
        <v>74</v>
      </c>
      <c r="BB903">
        <v>1297</v>
      </c>
      <c r="BC903">
        <v>1308</v>
      </c>
      <c r="BD903" t="s">
        <v>74</v>
      </c>
      <c r="BE903" t="s">
        <v>14164</v>
      </c>
      <c r="BF903" t="str">
        <f>HYPERLINK("http://dx.doi.org/10.1016/j.envsoft.2005.04.021","http://dx.doi.org/10.1016/j.envsoft.2005.04.021")</f>
        <v>http://dx.doi.org/10.1016/j.envsoft.2005.04.021</v>
      </c>
      <c r="BG903" t="s">
        <v>74</v>
      </c>
      <c r="BH903" t="s">
        <v>74</v>
      </c>
      <c r="BI903">
        <v>12</v>
      </c>
      <c r="BJ903" t="s">
        <v>14165</v>
      </c>
      <c r="BK903" t="s">
        <v>197</v>
      </c>
      <c r="BL903" t="s">
        <v>14166</v>
      </c>
      <c r="BM903" t="s">
        <v>14167</v>
      </c>
      <c r="BN903" t="s">
        <v>74</v>
      </c>
      <c r="BO903" t="s">
        <v>74</v>
      </c>
      <c r="BP903" t="s">
        <v>74</v>
      </c>
      <c r="BQ903" t="s">
        <v>74</v>
      </c>
      <c r="BR903" t="s">
        <v>100</v>
      </c>
      <c r="BS903" t="s">
        <v>14168</v>
      </c>
      <c r="BT903" t="str">
        <f>HYPERLINK("https%3A%2F%2Fwww.webofscience.com%2Fwos%2Fwoscc%2Ffull-record%2FWOS:000238797700009","View Full Record in Web of Science")</f>
        <v>View Full Record in Web of Science</v>
      </c>
    </row>
    <row r="904" spans="1:72" x14ac:dyDescent="0.15">
      <c r="A904" t="s">
        <v>72</v>
      </c>
      <c r="B904" t="s">
        <v>14169</v>
      </c>
      <c r="C904" t="s">
        <v>74</v>
      </c>
      <c r="D904" t="s">
        <v>74</v>
      </c>
      <c r="E904" t="s">
        <v>74</v>
      </c>
      <c r="F904" t="s">
        <v>14170</v>
      </c>
      <c r="G904" t="s">
        <v>74</v>
      </c>
      <c r="H904" t="s">
        <v>74</v>
      </c>
      <c r="I904" t="s">
        <v>14171</v>
      </c>
      <c r="J904" t="s">
        <v>14172</v>
      </c>
      <c r="K904" t="s">
        <v>74</v>
      </c>
      <c r="L904" t="s">
        <v>74</v>
      </c>
      <c r="M904" t="s">
        <v>78</v>
      </c>
      <c r="N904" t="s">
        <v>79</v>
      </c>
      <c r="O904" t="s">
        <v>74</v>
      </c>
      <c r="P904" t="s">
        <v>74</v>
      </c>
      <c r="Q904" t="s">
        <v>74</v>
      </c>
      <c r="R904" t="s">
        <v>74</v>
      </c>
      <c r="S904" t="s">
        <v>74</v>
      </c>
      <c r="T904" t="s">
        <v>14173</v>
      </c>
      <c r="U904" t="s">
        <v>14174</v>
      </c>
      <c r="V904" t="s">
        <v>14175</v>
      </c>
      <c r="W904" t="s">
        <v>14176</v>
      </c>
      <c r="X904" t="s">
        <v>14177</v>
      </c>
      <c r="Y904" t="s">
        <v>14178</v>
      </c>
      <c r="Z904" t="s">
        <v>14179</v>
      </c>
      <c r="AA904" t="s">
        <v>14180</v>
      </c>
      <c r="AB904" t="s">
        <v>14181</v>
      </c>
      <c r="AC904" t="s">
        <v>74</v>
      </c>
      <c r="AD904" t="s">
        <v>74</v>
      </c>
      <c r="AE904" t="s">
        <v>74</v>
      </c>
      <c r="AF904" t="s">
        <v>74</v>
      </c>
      <c r="AG904">
        <v>19</v>
      </c>
      <c r="AH904">
        <v>53</v>
      </c>
      <c r="AI904">
        <v>61</v>
      </c>
      <c r="AJ904">
        <v>2</v>
      </c>
      <c r="AK904">
        <v>16</v>
      </c>
      <c r="AL904" t="s">
        <v>902</v>
      </c>
      <c r="AM904" t="s">
        <v>903</v>
      </c>
      <c r="AN904" t="s">
        <v>5098</v>
      </c>
      <c r="AO904" t="s">
        <v>14182</v>
      </c>
      <c r="AP904" t="s">
        <v>14183</v>
      </c>
      <c r="AQ904" t="s">
        <v>74</v>
      </c>
      <c r="AR904" t="s">
        <v>14184</v>
      </c>
      <c r="AS904" t="s">
        <v>14185</v>
      </c>
      <c r="AT904" t="s">
        <v>14061</v>
      </c>
      <c r="AU904">
        <v>2006</v>
      </c>
      <c r="AV904">
        <v>25</v>
      </c>
      <c r="AW904">
        <v>5</v>
      </c>
      <c r="AX904" t="s">
        <v>74</v>
      </c>
      <c r="AY904" t="s">
        <v>74</v>
      </c>
      <c r="AZ904" t="s">
        <v>74</v>
      </c>
      <c r="BA904" t="s">
        <v>74</v>
      </c>
      <c r="BB904">
        <v>574</v>
      </c>
      <c r="BC904">
        <v>585</v>
      </c>
      <c r="BD904" t="s">
        <v>74</v>
      </c>
      <c r="BE904" t="s">
        <v>14186</v>
      </c>
      <c r="BF904" t="str">
        <f>HYPERLINK("http://dx.doi.org/10.1016/j.euromechflu.2006.02.009","http://dx.doi.org/10.1016/j.euromechflu.2006.02.009")</f>
        <v>http://dx.doi.org/10.1016/j.euromechflu.2006.02.009</v>
      </c>
      <c r="BG904" t="s">
        <v>74</v>
      </c>
      <c r="BH904" t="s">
        <v>74</v>
      </c>
      <c r="BI904">
        <v>12</v>
      </c>
      <c r="BJ904" t="s">
        <v>14187</v>
      </c>
      <c r="BK904" t="s">
        <v>97</v>
      </c>
      <c r="BL904" t="s">
        <v>14188</v>
      </c>
      <c r="BM904" t="s">
        <v>14189</v>
      </c>
      <c r="BN904" t="s">
        <v>74</v>
      </c>
      <c r="BO904" t="s">
        <v>74</v>
      </c>
      <c r="BP904" t="s">
        <v>74</v>
      </c>
      <c r="BQ904" t="s">
        <v>74</v>
      </c>
      <c r="BR904" t="s">
        <v>100</v>
      </c>
      <c r="BS904" t="s">
        <v>14190</v>
      </c>
      <c r="BT904" t="str">
        <f>HYPERLINK("https%3A%2F%2Fwww.webofscience.com%2Fwos%2Fwoscc%2Ffull-record%2FWOS:000240549700005","View Full Record in Web of Science")</f>
        <v>View Full Record in Web of Science</v>
      </c>
    </row>
    <row r="905" spans="1:72" x14ac:dyDescent="0.15">
      <c r="A905" t="s">
        <v>72</v>
      </c>
      <c r="B905" t="s">
        <v>14191</v>
      </c>
      <c r="C905" t="s">
        <v>74</v>
      </c>
      <c r="D905" t="s">
        <v>74</v>
      </c>
      <c r="E905" t="s">
        <v>74</v>
      </c>
      <c r="F905" t="s">
        <v>14192</v>
      </c>
      <c r="G905" t="s">
        <v>74</v>
      </c>
      <c r="H905" t="s">
        <v>74</v>
      </c>
      <c r="I905" t="s">
        <v>14193</v>
      </c>
      <c r="J905" t="s">
        <v>2457</v>
      </c>
      <c r="K905" t="s">
        <v>74</v>
      </c>
      <c r="L905" t="s">
        <v>74</v>
      </c>
      <c r="M905" t="s">
        <v>78</v>
      </c>
      <c r="N905" t="s">
        <v>79</v>
      </c>
      <c r="O905" t="s">
        <v>74</v>
      </c>
      <c r="P905" t="s">
        <v>74</v>
      </c>
      <c r="Q905" t="s">
        <v>74</v>
      </c>
      <c r="R905" t="s">
        <v>74</v>
      </c>
      <c r="S905" t="s">
        <v>74</v>
      </c>
      <c r="T905" t="s">
        <v>14194</v>
      </c>
      <c r="U905" t="s">
        <v>14195</v>
      </c>
      <c r="V905" t="s">
        <v>14196</v>
      </c>
      <c r="W905" t="s">
        <v>14197</v>
      </c>
      <c r="X905" t="s">
        <v>14198</v>
      </c>
      <c r="Y905" t="s">
        <v>14199</v>
      </c>
      <c r="Z905" t="s">
        <v>14200</v>
      </c>
      <c r="AA905" t="s">
        <v>74</v>
      </c>
      <c r="AB905" t="s">
        <v>74</v>
      </c>
      <c r="AC905" t="s">
        <v>74</v>
      </c>
      <c r="AD905" t="s">
        <v>74</v>
      </c>
      <c r="AE905" t="s">
        <v>74</v>
      </c>
      <c r="AF905" t="s">
        <v>74</v>
      </c>
      <c r="AG905">
        <v>42</v>
      </c>
      <c r="AH905">
        <v>42</v>
      </c>
      <c r="AI905">
        <v>45</v>
      </c>
      <c r="AJ905">
        <v>1</v>
      </c>
      <c r="AK905">
        <v>19</v>
      </c>
      <c r="AL905" t="s">
        <v>2467</v>
      </c>
      <c r="AM905" t="s">
        <v>818</v>
      </c>
      <c r="AN905" t="s">
        <v>2468</v>
      </c>
      <c r="AO905" t="s">
        <v>2469</v>
      </c>
      <c r="AP905" t="s">
        <v>2470</v>
      </c>
      <c r="AQ905" t="s">
        <v>74</v>
      </c>
      <c r="AR905" t="s">
        <v>2471</v>
      </c>
      <c r="AS905" t="s">
        <v>2472</v>
      </c>
      <c r="AT905" t="s">
        <v>13673</v>
      </c>
      <c r="AU905">
        <v>2006</v>
      </c>
      <c r="AV905">
        <v>57</v>
      </c>
      <c r="AW905">
        <v>3</v>
      </c>
      <c r="AX905" t="s">
        <v>74</v>
      </c>
      <c r="AY905" t="s">
        <v>74</v>
      </c>
      <c r="AZ905" t="s">
        <v>74</v>
      </c>
      <c r="BA905" t="s">
        <v>74</v>
      </c>
      <c r="BB905">
        <v>470</v>
      </c>
      <c r="BC905">
        <v>483</v>
      </c>
      <c r="BD905" t="s">
        <v>74</v>
      </c>
      <c r="BE905" t="s">
        <v>14201</v>
      </c>
      <c r="BF905" t="str">
        <f>HYPERLINK("http://dx.doi.org/10.1111/j.1574-6941.2006.00134.x","http://dx.doi.org/10.1111/j.1574-6941.2006.00134.x")</f>
        <v>http://dx.doi.org/10.1111/j.1574-6941.2006.00134.x</v>
      </c>
      <c r="BG905" t="s">
        <v>74</v>
      </c>
      <c r="BH905" t="s">
        <v>74</v>
      </c>
      <c r="BI905">
        <v>14</v>
      </c>
      <c r="BJ905" t="s">
        <v>2384</v>
      </c>
      <c r="BK905" t="s">
        <v>97</v>
      </c>
      <c r="BL905" t="s">
        <v>2384</v>
      </c>
      <c r="BM905" t="s">
        <v>14202</v>
      </c>
      <c r="BN905">
        <v>16907760</v>
      </c>
      <c r="BO905" t="s">
        <v>74</v>
      </c>
      <c r="BP905" t="s">
        <v>74</v>
      </c>
      <c r="BQ905" t="s">
        <v>74</v>
      </c>
      <c r="BR905" t="s">
        <v>100</v>
      </c>
      <c r="BS905" t="s">
        <v>14203</v>
      </c>
      <c r="BT905" t="str">
        <f>HYPERLINK("https%3A%2F%2Fwww.webofscience.com%2Fwos%2Fwoscc%2Ffull-record%2FWOS:000239636200012","View Full Record in Web of Science")</f>
        <v>View Full Record in Web of Science</v>
      </c>
    </row>
    <row r="906" spans="1:72" x14ac:dyDescent="0.15">
      <c r="A906" t="s">
        <v>72</v>
      </c>
      <c r="B906" t="s">
        <v>14204</v>
      </c>
      <c r="C906" t="s">
        <v>74</v>
      </c>
      <c r="D906" t="s">
        <v>74</v>
      </c>
      <c r="E906" t="s">
        <v>74</v>
      </c>
      <c r="F906" t="s">
        <v>14205</v>
      </c>
      <c r="G906" t="s">
        <v>74</v>
      </c>
      <c r="H906" t="s">
        <v>74</v>
      </c>
      <c r="I906" t="s">
        <v>14206</v>
      </c>
      <c r="J906" t="s">
        <v>14207</v>
      </c>
      <c r="K906" t="s">
        <v>74</v>
      </c>
      <c r="L906" t="s">
        <v>74</v>
      </c>
      <c r="M906" t="s">
        <v>78</v>
      </c>
      <c r="N906" t="s">
        <v>79</v>
      </c>
      <c r="O906" t="s">
        <v>74</v>
      </c>
      <c r="P906" t="s">
        <v>74</v>
      </c>
      <c r="Q906" t="s">
        <v>74</v>
      </c>
      <c r="R906" t="s">
        <v>74</v>
      </c>
      <c r="S906" t="s">
        <v>74</v>
      </c>
      <c r="T906" t="s">
        <v>14208</v>
      </c>
      <c r="U906" t="s">
        <v>14209</v>
      </c>
      <c r="V906" t="s">
        <v>14210</v>
      </c>
      <c r="W906" t="s">
        <v>14211</v>
      </c>
      <c r="X906" t="s">
        <v>14212</v>
      </c>
      <c r="Y906" t="s">
        <v>14213</v>
      </c>
      <c r="Z906" t="s">
        <v>14214</v>
      </c>
      <c r="AA906" t="s">
        <v>14215</v>
      </c>
      <c r="AB906" t="s">
        <v>14216</v>
      </c>
      <c r="AC906" t="s">
        <v>74</v>
      </c>
      <c r="AD906" t="s">
        <v>74</v>
      </c>
      <c r="AE906" t="s">
        <v>74</v>
      </c>
      <c r="AF906" t="s">
        <v>74</v>
      </c>
      <c r="AG906">
        <v>53</v>
      </c>
      <c r="AH906">
        <v>84</v>
      </c>
      <c r="AI906">
        <v>88</v>
      </c>
      <c r="AJ906">
        <v>0</v>
      </c>
      <c r="AK906">
        <v>23</v>
      </c>
      <c r="AL906" t="s">
        <v>8688</v>
      </c>
      <c r="AM906" t="s">
        <v>1112</v>
      </c>
      <c r="AN906" t="s">
        <v>8689</v>
      </c>
      <c r="AO906" t="s">
        <v>14217</v>
      </c>
      <c r="AP906" t="s">
        <v>14218</v>
      </c>
      <c r="AQ906" t="s">
        <v>74</v>
      </c>
      <c r="AR906" t="s">
        <v>14219</v>
      </c>
      <c r="AS906" t="s">
        <v>14220</v>
      </c>
      <c r="AT906" t="s">
        <v>14061</v>
      </c>
      <c r="AU906">
        <v>2006</v>
      </c>
      <c r="AV906">
        <v>118</v>
      </c>
      <c r="AW906" t="s">
        <v>14221</v>
      </c>
      <c r="AX906" t="s">
        <v>74</v>
      </c>
      <c r="AY906" t="s">
        <v>74</v>
      </c>
      <c r="AZ906" t="s">
        <v>74</v>
      </c>
      <c r="BA906" t="s">
        <v>74</v>
      </c>
      <c r="BB906">
        <v>1149</v>
      </c>
      <c r="BC906">
        <v>1159</v>
      </c>
      <c r="BD906" t="s">
        <v>74</v>
      </c>
      <c r="BE906" t="s">
        <v>14222</v>
      </c>
      <c r="BF906" t="str">
        <f>HYPERLINK("http://dx.doi.org/10.1130/B25735.1","http://dx.doi.org/10.1130/B25735.1")</f>
        <v>http://dx.doi.org/10.1130/B25735.1</v>
      </c>
      <c r="BG906" t="s">
        <v>74</v>
      </c>
      <c r="BH906" t="s">
        <v>74</v>
      </c>
      <c r="BI906">
        <v>11</v>
      </c>
      <c r="BJ906" t="s">
        <v>685</v>
      </c>
      <c r="BK906" t="s">
        <v>97</v>
      </c>
      <c r="BL906" t="s">
        <v>642</v>
      </c>
      <c r="BM906" t="s">
        <v>14223</v>
      </c>
      <c r="BN906" t="s">
        <v>74</v>
      </c>
      <c r="BO906" t="s">
        <v>74</v>
      </c>
      <c r="BP906" t="s">
        <v>74</v>
      </c>
      <c r="BQ906" t="s">
        <v>74</v>
      </c>
      <c r="BR906" t="s">
        <v>100</v>
      </c>
      <c r="BS906" t="s">
        <v>14224</v>
      </c>
      <c r="BT906" t="str">
        <f>HYPERLINK("https%3A%2F%2Fwww.webofscience.com%2Fwos%2Fwoscc%2Ffull-record%2FWOS:000240508500007","View Full Record in Web of Science")</f>
        <v>View Full Record in Web of Science</v>
      </c>
    </row>
    <row r="907" spans="1:72" x14ac:dyDescent="0.15">
      <c r="A907" t="s">
        <v>72</v>
      </c>
      <c r="B907" t="s">
        <v>14225</v>
      </c>
      <c r="C907" t="s">
        <v>74</v>
      </c>
      <c r="D907" t="s">
        <v>74</v>
      </c>
      <c r="E907" t="s">
        <v>74</v>
      </c>
      <c r="F907" t="s">
        <v>14226</v>
      </c>
      <c r="G907" t="s">
        <v>74</v>
      </c>
      <c r="H907" t="s">
        <v>74</v>
      </c>
      <c r="I907" t="s">
        <v>14227</v>
      </c>
      <c r="J907" t="s">
        <v>10777</v>
      </c>
      <c r="K907" t="s">
        <v>74</v>
      </c>
      <c r="L907" t="s">
        <v>74</v>
      </c>
      <c r="M907" t="s">
        <v>78</v>
      </c>
      <c r="N907" t="s">
        <v>79</v>
      </c>
      <c r="O907" t="s">
        <v>74</v>
      </c>
      <c r="P907" t="s">
        <v>74</v>
      </c>
      <c r="Q907" t="s">
        <v>74</v>
      </c>
      <c r="R907" t="s">
        <v>74</v>
      </c>
      <c r="S907" t="s">
        <v>74</v>
      </c>
      <c r="T907" t="s">
        <v>14228</v>
      </c>
      <c r="U907" t="s">
        <v>14229</v>
      </c>
      <c r="V907" t="s">
        <v>14230</v>
      </c>
      <c r="W907" t="s">
        <v>14231</v>
      </c>
      <c r="X907" t="s">
        <v>14232</v>
      </c>
      <c r="Y907" t="s">
        <v>14233</v>
      </c>
      <c r="Z907" t="s">
        <v>14234</v>
      </c>
      <c r="AA907" t="s">
        <v>14235</v>
      </c>
      <c r="AB907" t="s">
        <v>14236</v>
      </c>
      <c r="AC907" t="s">
        <v>74</v>
      </c>
      <c r="AD907" t="s">
        <v>74</v>
      </c>
      <c r="AE907" t="s">
        <v>74</v>
      </c>
      <c r="AF907" t="s">
        <v>74</v>
      </c>
      <c r="AG907">
        <v>31</v>
      </c>
      <c r="AH907">
        <v>11</v>
      </c>
      <c r="AI907">
        <v>16</v>
      </c>
      <c r="AJ907">
        <v>0</v>
      </c>
      <c r="AK907">
        <v>6</v>
      </c>
      <c r="AL907" t="s">
        <v>5744</v>
      </c>
      <c r="AM907" t="s">
        <v>818</v>
      </c>
      <c r="AN907" t="s">
        <v>5745</v>
      </c>
      <c r="AO907" t="s">
        <v>10786</v>
      </c>
      <c r="AP907" t="s">
        <v>74</v>
      </c>
      <c r="AQ907" t="s">
        <v>74</v>
      </c>
      <c r="AR907" t="s">
        <v>10788</v>
      </c>
      <c r="AS907" t="s">
        <v>10789</v>
      </c>
      <c r="AT907" t="s">
        <v>13673</v>
      </c>
      <c r="AU907">
        <v>2006</v>
      </c>
      <c r="AV907">
        <v>166</v>
      </c>
      <c r="AW907">
        <v>3</v>
      </c>
      <c r="AX907" t="s">
        <v>74</v>
      </c>
      <c r="AY907" t="s">
        <v>74</v>
      </c>
      <c r="AZ907" t="s">
        <v>74</v>
      </c>
      <c r="BA907" t="s">
        <v>74</v>
      </c>
      <c r="BB907">
        <v>991</v>
      </c>
      <c r="BC907">
        <v>998</v>
      </c>
      <c r="BD907" t="s">
        <v>74</v>
      </c>
      <c r="BE907" t="s">
        <v>14237</v>
      </c>
      <c r="BF907" t="str">
        <f>HYPERLINK("http://dx.doi.org/10.1111/j.1365-246X.2006.03061.x","http://dx.doi.org/10.1111/j.1365-246X.2006.03061.x")</f>
        <v>http://dx.doi.org/10.1111/j.1365-246X.2006.03061.x</v>
      </c>
      <c r="BG907" t="s">
        <v>74</v>
      </c>
      <c r="BH907" t="s">
        <v>74</v>
      </c>
      <c r="BI907">
        <v>8</v>
      </c>
      <c r="BJ907" t="s">
        <v>865</v>
      </c>
      <c r="BK907" t="s">
        <v>97</v>
      </c>
      <c r="BL907" t="s">
        <v>865</v>
      </c>
      <c r="BM907" t="s">
        <v>14238</v>
      </c>
      <c r="BN907" t="s">
        <v>74</v>
      </c>
      <c r="BO907" t="s">
        <v>74</v>
      </c>
      <c r="BP907" t="s">
        <v>74</v>
      </c>
      <c r="BQ907" t="s">
        <v>74</v>
      </c>
      <c r="BR907" t="s">
        <v>100</v>
      </c>
      <c r="BS907" t="s">
        <v>14239</v>
      </c>
      <c r="BT907" t="str">
        <f>HYPERLINK("https%3A%2F%2Fwww.webofscience.com%2Fwos%2Fwoscc%2Ffull-record%2FWOS:000239862300001","View Full Record in Web of Science")</f>
        <v>View Full Record in Web of Science</v>
      </c>
    </row>
    <row r="908" spans="1:72" x14ac:dyDescent="0.15">
      <c r="A908" t="s">
        <v>72</v>
      </c>
      <c r="B908" t="s">
        <v>14240</v>
      </c>
      <c r="C908" t="s">
        <v>74</v>
      </c>
      <c r="D908" t="s">
        <v>74</v>
      </c>
      <c r="E908" t="s">
        <v>74</v>
      </c>
      <c r="F908" t="s">
        <v>14241</v>
      </c>
      <c r="G908" t="s">
        <v>74</v>
      </c>
      <c r="H908" t="s">
        <v>74</v>
      </c>
      <c r="I908" t="s">
        <v>14242</v>
      </c>
      <c r="J908" t="s">
        <v>2820</v>
      </c>
      <c r="K908" t="s">
        <v>74</v>
      </c>
      <c r="L908" t="s">
        <v>74</v>
      </c>
      <c r="M908" t="s">
        <v>78</v>
      </c>
      <c r="N908" t="s">
        <v>79</v>
      </c>
      <c r="O908" t="s">
        <v>74</v>
      </c>
      <c r="P908" t="s">
        <v>74</v>
      </c>
      <c r="Q908" t="s">
        <v>74</v>
      </c>
      <c r="R908" t="s">
        <v>74</v>
      </c>
      <c r="S908" t="s">
        <v>74</v>
      </c>
      <c r="T908" t="s">
        <v>14243</v>
      </c>
      <c r="U908" t="s">
        <v>14244</v>
      </c>
      <c r="V908" t="s">
        <v>14245</v>
      </c>
      <c r="W908" t="s">
        <v>14246</v>
      </c>
      <c r="X908" t="s">
        <v>8346</v>
      </c>
      <c r="Y908" t="s">
        <v>14247</v>
      </c>
      <c r="Z908" t="s">
        <v>14248</v>
      </c>
      <c r="AA908" t="s">
        <v>14249</v>
      </c>
      <c r="AB908" t="s">
        <v>14250</v>
      </c>
      <c r="AC908" t="s">
        <v>74</v>
      </c>
      <c r="AD908" t="s">
        <v>74</v>
      </c>
      <c r="AE908" t="s">
        <v>74</v>
      </c>
      <c r="AF908" t="s">
        <v>74</v>
      </c>
      <c r="AG908">
        <v>45</v>
      </c>
      <c r="AH908">
        <v>200</v>
      </c>
      <c r="AI908">
        <v>228</v>
      </c>
      <c r="AJ908">
        <v>1</v>
      </c>
      <c r="AK908">
        <v>139</v>
      </c>
      <c r="AL908" t="s">
        <v>902</v>
      </c>
      <c r="AM908" t="s">
        <v>903</v>
      </c>
      <c r="AN908" t="s">
        <v>5098</v>
      </c>
      <c r="AO908" t="s">
        <v>2831</v>
      </c>
      <c r="AP908" t="s">
        <v>2832</v>
      </c>
      <c r="AQ908" t="s">
        <v>74</v>
      </c>
      <c r="AR908" t="s">
        <v>2833</v>
      </c>
      <c r="AS908" t="s">
        <v>2834</v>
      </c>
      <c r="AT908" t="s">
        <v>13673</v>
      </c>
      <c r="AU908">
        <v>2006</v>
      </c>
      <c r="AV908">
        <v>53</v>
      </c>
      <c r="AW908">
        <v>3</v>
      </c>
      <c r="AX908" t="s">
        <v>74</v>
      </c>
      <c r="AY908" t="s">
        <v>74</v>
      </c>
      <c r="AZ908" t="s">
        <v>74</v>
      </c>
      <c r="BA908" t="s">
        <v>74</v>
      </c>
      <c r="BB908">
        <v>155</v>
      </c>
      <c r="BC908">
        <v>168</v>
      </c>
      <c r="BD908" t="s">
        <v>74</v>
      </c>
      <c r="BE908" t="s">
        <v>14251</v>
      </c>
      <c r="BF908" t="str">
        <f>HYPERLINK("http://dx.doi.org/10.1016/j.gloplacha.2006.04.001","http://dx.doi.org/10.1016/j.gloplacha.2006.04.001")</f>
        <v>http://dx.doi.org/10.1016/j.gloplacha.2006.04.001</v>
      </c>
      <c r="BG908" t="s">
        <v>74</v>
      </c>
      <c r="BH908" t="s">
        <v>74</v>
      </c>
      <c r="BI908">
        <v>14</v>
      </c>
      <c r="BJ908" t="s">
        <v>663</v>
      </c>
      <c r="BK908" t="s">
        <v>97</v>
      </c>
      <c r="BL908" t="s">
        <v>664</v>
      </c>
      <c r="BM908" t="s">
        <v>14252</v>
      </c>
      <c r="BN908" t="s">
        <v>74</v>
      </c>
      <c r="BO908" t="s">
        <v>74</v>
      </c>
      <c r="BP908" t="s">
        <v>74</v>
      </c>
      <c r="BQ908" t="s">
        <v>74</v>
      </c>
      <c r="BR908" t="s">
        <v>100</v>
      </c>
      <c r="BS908" t="s">
        <v>14253</v>
      </c>
      <c r="BT908" t="str">
        <f>HYPERLINK("https%3A%2F%2Fwww.webofscience.com%2Fwos%2Fwoscc%2Ffull-record%2FWOS:000240743000001","View Full Record in Web of Science")</f>
        <v>View Full Record in Web of Science</v>
      </c>
    </row>
    <row r="909" spans="1:72" x14ac:dyDescent="0.15">
      <c r="A909" t="s">
        <v>72</v>
      </c>
      <c r="B909" t="s">
        <v>14254</v>
      </c>
      <c r="C909" t="s">
        <v>74</v>
      </c>
      <c r="D909" t="s">
        <v>74</v>
      </c>
      <c r="E909" t="s">
        <v>74</v>
      </c>
      <c r="F909" t="s">
        <v>14255</v>
      </c>
      <c r="G909" t="s">
        <v>74</v>
      </c>
      <c r="H909" t="s">
        <v>74</v>
      </c>
      <c r="I909" t="s">
        <v>14256</v>
      </c>
      <c r="J909" t="s">
        <v>9766</v>
      </c>
      <c r="K909" t="s">
        <v>74</v>
      </c>
      <c r="L909" t="s">
        <v>74</v>
      </c>
      <c r="M909" t="s">
        <v>78</v>
      </c>
      <c r="N909" t="s">
        <v>79</v>
      </c>
      <c r="O909" t="s">
        <v>74</v>
      </c>
      <c r="P909" t="s">
        <v>74</v>
      </c>
      <c r="Q909" t="s">
        <v>74</v>
      </c>
      <c r="R909" t="s">
        <v>74</v>
      </c>
      <c r="S909" t="s">
        <v>74</v>
      </c>
      <c r="T909" t="s">
        <v>74</v>
      </c>
      <c r="U909" t="s">
        <v>14257</v>
      </c>
      <c r="V909" t="s">
        <v>14258</v>
      </c>
      <c r="W909" t="s">
        <v>14259</v>
      </c>
      <c r="X909" t="s">
        <v>14260</v>
      </c>
      <c r="Y909" t="s">
        <v>14261</v>
      </c>
      <c r="Z909" t="s">
        <v>14262</v>
      </c>
      <c r="AA909" t="s">
        <v>14263</v>
      </c>
      <c r="AB909" t="s">
        <v>14264</v>
      </c>
      <c r="AC909" t="s">
        <v>74</v>
      </c>
      <c r="AD909" t="s">
        <v>74</v>
      </c>
      <c r="AE909" t="s">
        <v>74</v>
      </c>
      <c r="AF909" t="s">
        <v>74</v>
      </c>
      <c r="AG909">
        <v>47</v>
      </c>
      <c r="AH909">
        <v>55</v>
      </c>
      <c r="AI909">
        <v>58</v>
      </c>
      <c r="AJ909">
        <v>0</v>
      </c>
      <c r="AK909">
        <v>18</v>
      </c>
      <c r="AL909" t="s">
        <v>7239</v>
      </c>
      <c r="AM909" t="s">
        <v>5498</v>
      </c>
      <c r="AN909" t="s">
        <v>7240</v>
      </c>
      <c r="AO909" t="s">
        <v>9775</v>
      </c>
      <c r="AP909" t="s">
        <v>9776</v>
      </c>
      <c r="AQ909" t="s">
        <v>74</v>
      </c>
      <c r="AR909" t="s">
        <v>9777</v>
      </c>
      <c r="AS909" t="s">
        <v>9778</v>
      </c>
      <c r="AT909" t="s">
        <v>13999</v>
      </c>
      <c r="AU909">
        <v>2006</v>
      </c>
      <c r="AV909">
        <v>20</v>
      </c>
      <c r="AW909">
        <v>3</v>
      </c>
      <c r="AX909" t="s">
        <v>74</v>
      </c>
      <c r="AY909" t="s">
        <v>74</v>
      </c>
      <c r="AZ909" t="s">
        <v>74</v>
      </c>
      <c r="BA909" t="s">
        <v>74</v>
      </c>
      <c r="BB909" t="s">
        <v>74</v>
      </c>
      <c r="BC909" t="s">
        <v>74</v>
      </c>
      <c r="BD909" t="s">
        <v>14265</v>
      </c>
      <c r="BE909" t="s">
        <v>14266</v>
      </c>
      <c r="BF909" t="str">
        <f>HYPERLINK("http://dx.doi.org/10.1029/2005GB002646","http://dx.doi.org/10.1029/2005GB002646")</f>
        <v>http://dx.doi.org/10.1029/2005GB002646</v>
      </c>
      <c r="BG909" t="s">
        <v>74</v>
      </c>
      <c r="BH909" t="s">
        <v>74</v>
      </c>
      <c r="BI909">
        <v>11</v>
      </c>
      <c r="BJ909" t="s">
        <v>9781</v>
      </c>
      <c r="BK909" t="s">
        <v>97</v>
      </c>
      <c r="BL909" t="s">
        <v>9782</v>
      </c>
      <c r="BM909" t="s">
        <v>14267</v>
      </c>
      <c r="BN909" t="s">
        <v>74</v>
      </c>
      <c r="BO909" t="s">
        <v>74</v>
      </c>
      <c r="BP909" t="s">
        <v>74</v>
      </c>
      <c r="BQ909" t="s">
        <v>74</v>
      </c>
      <c r="BR909" t="s">
        <v>100</v>
      </c>
      <c r="BS909" t="s">
        <v>14268</v>
      </c>
      <c r="BT909" t="str">
        <f>HYPERLINK("https%3A%2F%2Fwww.webofscience.com%2Fwos%2Fwoscc%2Ffull-record%2FWOS:000240332600001","View Full Record in Web of Science")</f>
        <v>View Full Record in Web of Science</v>
      </c>
    </row>
    <row r="910" spans="1:72" x14ac:dyDescent="0.15">
      <c r="A910" t="s">
        <v>72</v>
      </c>
      <c r="B910" t="s">
        <v>14269</v>
      </c>
      <c r="C910" t="s">
        <v>74</v>
      </c>
      <c r="D910" t="s">
        <v>74</v>
      </c>
      <c r="E910" t="s">
        <v>74</v>
      </c>
      <c r="F910" t="s">
        <v>14270</v>
      </c>
      <c r="G910" t="s">
        <v>74</v>
      </c>
      <c r="H910" t="s">
        <v>74</v>
      </c>
      <c r="I910" t="s">
        <v>14271</v>
      </c>
      <c r="J910" t="s">
        <v>8713</v>
      </c>
      <c r="K910" t="s">
        <v>74</v>
      </c>
      <c r="L910" t="s">
        <v>74</v>
      </c>
      <c r="M910" t="s">
        <v>78</v>
      </c>
      <c r="N910" t="s">
        <v>79</v>
      </c>
      <c r="O910" t="s">
        <v>74</v>
      </c>
      <c r="P910" t="s">
        <v>74</v>
      </c>
      <c r="Q910" t="s">
        <v>74</v>
      </c>
      <c r="R910" t="s">
        <v>74</v>
      </c>
      <c r="S910" t="s">
        <v>74</v>
      </c>
      <c r="T910" t="s">
        <v>14272</v>
      </c>
      <c r="U910" t="s">
        <v>14273</v>
      </c>
      <c r="V910" t="s">
        <v>14274</v>
      </c>
      <c r="W910" t="s">
        <v>14275</v>
      </c>
      <c r="X910" t="s">
        <v>14276</v>
      </c>
      <c r="Y910" t="s">
        <v>8719</v>
      </c>
      <c r="Z910" t="s">
        <v>8720</v>
      </c>
      <c r="AA910" t="s">
        <v>14277</v>
      </c>
      <c r="AB910" t="s">
        <v>14278</v>
      </c>
      <c r="AC910" t="s">
        <v>74</v>
      </c>
      <c r="AD910" t="s">
        <v>74</v>
      </c>
      <c r="AE910" t="s">
        <v>74</v>
      </c>
      <c r="AF910" t="s">
        <v>74</v>
      </c>
      <c r="AG910">
        <v>63</v>
      </c>
      <c r="AH910">
        <v>57</v>
      </c>
      <c r="AI910">
        <v>62</v>
      </c>
      <c r="AJ910">
        <v>2</v>
      </c>
      <c r="AK910">
        <v>59</v>
      </c>
      <c r="AL910" t="s">
        <v>159</v>
      </c>
      <c r="AM910" t="s">
        <v>160</v>
      </c>
      <c r="AN910" t="s">
        <v>161</v>
      </c>
      <c r="AO910" t="s">
        <v>8723</v>
      </c>
      <c r="AP910" t="s">
        <v>12446</v>
      </c>
      <c r="AQ910" t="s">
        <v>74</v>
      </c>
      <c r="AR910" t="s">
        <v>8724</v>
      </c>
      <c r="AS910" t="s">
        <v>8725</v>
      </c>
      <c r="AT910" t="s">
        <v>13673</v>
      </c>
      <c r="AU910">
        <v>2006</v>
      </c>
      <c r="AV910">
        <v>12</v>
      </c>
      <c r="AW910">
        <v>9</v>
      </c>
      <c r="AX910" t="s">
        <v>74</v>
      </c>
      <c r="AY910" t="s">
        <v>74</v>
      </c>
      <c r="AZ910" t="s">
        <v>74</v>
      </c>
      <c r="BA910" t="s">
        <v>74</v>
      </c>
      <c r="BB910">
        <v>1800</v>
      </c>
      <c r="BC910">
        <v>1812</v>
      </c>
      <c r="BD910" t="s">
        <v>74</v>
      </c>
      <c r="BE910" t="s">
        <v>14279</v>
      </c>
      <c r="BF910" t="str">
        <f>HYPERLINK("http://dx.doi.org/10.1111/j.1365-2486.2006.01209.x","http://dx.doi.org/10.1111/j.1365-2486.2006.01209.x")</f>
        <v>http://dx.doi.org/10.1111/j.1365-2486.2006.01209.x</v>
      </c>
      <c r="BG910" t="s">
        <v>74</v>
      </c>
      <c r="BH910" t="s">
        <v>74</v>
      </c>
      <c r="BI910">
        <v>13</v>
      </c>
      <c r="BJ910" t="s">
        <v>8469</v>
      </c>
      <c r="BK910" t="s">
        <v>97</v>
      </c>
      <c r="BL910" t="s">
        <v>5603</v>
      </c>
      <c r="BM910" t="s">
        <v>14280</v>
      </c>
      <c r="BN910" t="s">
        <v>74</v>
      </c>
      <c r="BO910" t="s">
        <v>1384</v>
      </c>
      <c r="BP910" t="s">
        <v>74</v>
      </c>
      <c r="BQ910" t="s">
        <v>74</v>
      </c>
      <c r="BR910" t="s">
        <v>100</v>
      </c>
      <c r="BS910" t="s">
        <v>14281</v>
      </c>
      <c r="BT910" t="str">
        <f>HYPERLINK("https%3A%2F%2Fwww.webofscience.com%2Fwos%2Fwoscc%2Ffull-record%2FWOS:000240005300019","View Full Record in Web of Science")</f>
        <v>View Full Record in Web of Science</v>
      </c>
    </row>
    <row r="911" spans="1:72" x14ac:dyDescent="0.15">
      <c r="A911" t="s">
        <v>72</v>
      </c>
      <c r="B911" t="s">
        <v>14282</v>
      </c>
      <c r="C911" t="s">
        <v>74</v>
      </c>
      <c r="D911" t="s">
        <v>74</v>
      </c>
      <c r="E911" t="s">
        <v>74</v>
      </c>
      <c r="F911" t="s">
        <v>14283</v>
      </c>
      <c r="G911" t="s">
        <v>74</v>
      </c>
      <c r="H911" t="s">
        <v>74</v>
      </c>
      <c r="I911" t="s">
        <v>14284</v>
      </c>
      <c r="J911" t="s">
        <v>14285</v>
      </c>
      <c r="K911" t="s">
        <v>74</v>
      </c>
      <c r="L911" t="s">
        <v>74</v>
      </c>
      <c r="M911" t="s">
        <v>78</v>
      </c>
      <c r="N911" t="s">
        <v>79</v>
      </c>
      <c r="O911" t="s">
        <v>74</v>
      </c>
      <c r="P911" t="s">
        <v>74</v>
      </c>
      <c r="Q911" t="s">
        <v>74</v>
      </c>
      <c r="R911" t="s">
        <v>74</v>
      </c>
      <c r="S911" t="s">
        <v>74</v>
      </c>
      <c r="T911" t="s">
        <v>14286</v>
      </c>
      <c r="U911" t="s">
        <v>14287</v>
      </c>
      <c r="V911" t="s">
        <v>14288</v>
      </c>
      <c r="W911" t="s">
        <v>14289</v>
      </c>
      <c r="X911" t="s">
        <v>14290</v>
      </c>
      <c r="Y911" t="s">
        <v>14291</v>
      </c>
      <c r="Z911" t="s">
        <v>14292</v>
      </c>
      <c r="AA911" t="s">
        <v>14293</v>
      </c>
      <c r="AB911" t="s">
        <v>14294</v>
      </c>
      <c r="AC911" t="s">
        <v>74</v>
      </c>
      <c r="AD911" t="s">
        <v>74</v>
      </c>
      <c r="AE911" t="s">
        <v>74</v>
      </c>
      <c r="AF911" t="s">
        <v>74</v>
      </c>
      <c r="AG911">
        <v>51</v>
      </c>
      <c r="AH911">
        <v>43</v>
      </c>
      <c r="AI911">
        <v>47</v>
      </c>
      <c r="AJ911">
        <v>0</v>
      </c>
      <c r="AK911">
        <v>25</v>
      </c>
      <c r="AL911" t="s">
        <v>10638</v>
      </c>
      <c r="AM911" t="s">
        <v>6911</v>
      </c>
      <c r="AN911" t="s">
        <v>10639</v>
      </c>
      <c r="AO911" t="s">
        <v>14295</v>
      </c>
      <c r="AP911" t="s">
        <v>14296</v>
      </c>
      <c r="AQ911" t="s">
        <v>74</v>
      </c>
      <c r="AR911" t="s">
        <v>14285</v>
      </c>
      <c r="AS911" t="s">
        <v>14297</v>
      </c>
      <c r="AT911" t="s">
        <v>13673</v>
      </c>
      <c r="AU911">
        <v>2006</v>
      </c>
      <c r="AV911">
        <v>184</v>
      </c>
      <c r="AW911">
        <v>1</v>
      </c>
      <c r="AX911" t="s">
        <v>74</v>
      </c>
      <c r="AY911" t="s">
        <v>74</v>
      </c>
      <c r="AZ911" t="s">
        <v>74</v>
      </c>
      <c r="BA911" t="s">
        <v>74</v>
      </c>
      <c r="BB911">
        <v>158</v>
      </c>
      <c r="BC911">
        <v>169</v>
      </c>
      <c r="BD911" t="s">
        <v>74</v>
      </c>
      <c r="BE911" t="s">
        <v>14298</v>
      </c>
      <c r="BF911" t="str">
        <f>HYPERLINK("http://dx.doi.org/10.1016/j.icarus.2006.04.009","http://dx.doi.org/10.1016/j.icarus.2006.04.009")</f>
        <v>http://dx.doi.org/10.1016/j.icarus.2006.04.009</v>
      </c>
      <c r="BG911" t="s">
        <v>74</v>
      </c>
      <c r="BH911" t="s">
        <v>74</v>
      </c>
      <c r="BI911">
        <v>12</v>
      </c>
      <c r="BJ911" t="s">
        <v>801</v>
      </c>
      <c r="BK911" t="s">
        <v>97</v>
      </c>
      <c r="BL911" t="s">
        <v>801</v>
      </c>
      <c r="BM911" t="s">
        <v>14299</v>
      </c>
      <c r="BN911" t="s">
        <v>74</v>
      </c>
      <c r="BO911" t="s">
        <v>74</v>
      </c>
      <c r="BP911" t="s">
        <v>74</v>
      </c>
      <c r="BQ911" t="s">
        <v>74</v>
      </c>
      <c r="BR911" t="s">
        <v>100</v>
      </c>
      <c r="BS911" t="s">
        <v>14300</v>
      </c>
      <c r="BT911" t="str">
        <f>HYPERLINK("https%3A%2F%2Fwww.webofscience.com%2Fwos%2Fwoscc%2Ffull-record%2FWOS:000240247400008","View Full Record in Web of Science")</f>
        <v>View Full Record in Web of Science</v>
      </c>
    </row>
    <row r="912" spans="1:72" x14ac:dyDescent="0.15">
      <c r="A912" t="s">
        <v>72</v>
      </c>
      <c r="B912" t="s">
        <v>14301</v>
      </c>
      <c r="C912" t="s">
        <v>74</v>
      </c>
      <c r="D912" t="s">
        <v>74</v>
      </c>
      <c r="E912" t="s">
        <v>74</v>
      </c>
      <c r="F912" t="s">
        <v>14302</v>
      </c>
      <c r="G912" t="s">
        <v>74</v>
      </c>
      <c r="H912" t="s">
        <v>74</v>
      </c>
      <c r="I912" t="s">
        <v>14303</v>
      </c>
      <c r="J912" t="s">
        <v>3008</v>
      </c>
      <c r="K912" t="s">
        <v>74</v>
      </c>
      <c r="L912" t="s">
        <v>74</v>
      </c>
      <c r="M912" t="s">
        <v>78</v>
      </c>
      <c r="N912" t="s">
        <v>79</v>
      </c>
      <c r="O912" t="s">
        <v>74</v>
      </c>
      <c r="P912" t="s">
        <v>74</v>
      </c>
      <c r="Q912" t="s">
        <v>74</v>
      </c>
      <c r="R912" t="s">
        <v>74</v>
      </c>
      <c r="S912" t="s">
        <v>74</v>
      </c>
      <c r="T912" t="s">
        <v>14304</v>
      </c>
      <c r="U912" t="s">
        <v>14305</v>
      </c>
      <c r="V912" t="s">
        <v>14306</v>
      </c>
      <c r="W912" t="s">
        <v>14307</v>
      </c>
      <c r="X912" t="s">
        <v>2120</v>
      </c>
      <c r="Y912" t="s">
        <v>14308</v>
      </c>
      <c r="Z912" t="s">
        <v>14309</v>
      </c>
      <c r="AA912" t="s">
        <v>2122</v>
      </c>
      <c r="AB912" t="s">
        <v>2123</v>
      </c>
      <c r="AC912" t="s">
        <v>74</v>
      </c>
      <c r="AD912" t="s">
        <v>74</v>
      </c>
      <c r="AE912" t="s">
        <v>74</v>
      </c>
      <c r="AF912" t="s">
        <v>74</v>
      </c>
      <c r="AG912">
        <v>24</v>
      </c>
      <c r="AH912">
        <v>30</v>
      </c>
      <c r="AI912">
        <v>38</v>
      </c>
      <c r="AJ912">
        <v>1</v>
      </c>
      <c r="AK912">
        <v>20</v>
      </c>
      <c r="AL912" t="s">
        <v>3018</v>
      </c>
      <c r="AM912" t="s">
        <v>3019</v>
      </c>
      <c r="AN912" t="s">
        <v>3020</v>
      </c>
      <c r="AO912" t="s">
        <v>3021</v>
      </c>
      <c r="AP912" t="s">
        <v>74</v>
      </c>
      <c r="AQ912" t="s">
        <v>74</v>
      </c>
      <c r="AR912" t="s">
        <v>3022</v>
      </c>
      <c r="AS912" t="s">
        <v>3023</v>
      </c>
      <c r="AT912" t="s">
        <v>13673</v>
      </c>
      <c r="AU912">
        <v>2006</v>
      </c>
      <c r="AV912">
        <v>44</v>
      </c>
      <c r="AW912">
        <v>9</v>
      </c>
      <c r="AX912" t="s">
        <v>74</v>
      </c>
      <c r="AY912" t="s">
        <v>74</v>
      </c>
      <c r="AZ912" t="s">
        <v>74</v>
      </c>
      <c r="BA912" t="s">
        <v>74</v>
      </c>
      <c r="BB912">
        <v>2461</v>
      </c>
      <c r="BC912">
        <v>2469</v>
      </c>
      <c r="BD912" t="s">
        <v>74</v>
      </c>
      <c r="BE912" t="s">
        <v>14310</v>
      </c>
      <c r="BF912" t="str">
        <f>HYPERLINK("http://dx.doi.org/10.1109/TGRS.2006.874138","http://dx.doi.org/10.1109/TGRS.2006.874138")</f>
        <v>http://dx.doi.org/10.1109/TGRS.2006.874138</v>
      </c>
      <c r="BG912" t="s">
        <v>74</v>
      </c>
      <c r="BH912" t="s">
        <v>74</v>
      </c>
      <c r="BI912">
        <v>9</v>
      </c>
      <c r="BJ912" t="s">
        <v>3025</v>
      </c>
      <c r="BK912" t="s">
        <v>97</v>
      </c>
      <c r="BL912" t="s">
        <v>3026</v>
      </c>
      <c r="BM912" t="s">
        <v>14311</v>
      </c>
      <c r="BN912" t="s">
        <v>74</v>
      </c>
      <c r="BO912" t="s">
        <v>12097</v>
      </c>
      <c r="BP912" t="s">
        <v>74</v>
      </c>
      <c r="BQ912" t="s">
        <v>74</v>
      </c>
      <c r="BR912" t="s">
        <v>100</v>
      </c>
      <c r="BS912" t="s">
        <v>14312</v>
      </c>
      <c r="BT912" t="str">
        <f>HYPERLINK("https%3A%2F%2Fwww.webofscience.com%2Fwos%2Fwoscc%2Ffull-record%2FWOS:000240167200015","View Full Record in Web of Science")</f>
        <v>View Full Record in Web of Science</v>
      </c>
    </row>
    <row r="913" spans="1:72" x14ac:dyDescent="0.15">
      <c r="A913" t="s">
        <v>72</v>
      </c>
      <c r="B913" t="s">
        <v>14313</v>
      </c>
      <c r="C913" t="s">
        <v>74</v>
      </c>
      <c r="D913" t="s">
        <v>74</v>
      </c>
      <c r="E913" t="s">
        <v>74</v>
      </c>
      <c r="F913" t="s">
        <v>14314</v>
      </c>
      <c r="G913" t="s">
        <v>74</v>
      </c>
      <c r="H913" t="s">
        <v>74</v>
      </c>
      <c r="I913" t="s">
        <v>14315</v>
      </c>
      <c r="J913" t="s">
        <v>14316</v>
      </c>
      <c r="K913" t="s">
        <v>74</v>
      </c>
      <c r="L913" t="s">
        <v>74</v>
      </c>
      <c r="M913" t="s">
        <v>78</v>
      </c>
      <c r="N913" t="s">
        <v>79</v>
      </c>
      <c r="O913" t="s">
        <v>74</v>
      </c>
      <c r="P913" t="s">
        <v>74</v>
      </c>
      <c r="Q913" t="s">
        <v>74</v>
      </c>
      <c r="R913" t="s">
        <v>74</v>
      </c>
      <c r="S913" t="s">
        <v>74</v>
      </c>
      <c r="T913" t="s">
        <v>14317</v>
      </c>
      <c r="U913" t="s">
        <v>14318</v>
      </c>
      <c r="V913" t="s">
        <v>14319</v>
      </c>
      <c r="W913" t="s">
        <v>14320</v>
      </c>
      <c r="X913" t="s">
        <v>8978</v>
      </c>
      <c r="Y913" t="s">
        <v>14321</v>
      </c>
      <c r="Z913" t="s">
        <v>11047</v>
      </c>
      <c r="AA913" t="s">
        <v>74</v>
      </c>
      <c r="AB913" t="s">
        <v>74</v>
      </c>
      <c r="AC913" t="s">
        <v>74</v>
      </c>
      <c r="AD913" t="s">
        <v>74</v>
      </c>
      <c r="AE913" t="s">
        <v>74</v>
      </c>
      <c r="AF913" t="s">
        <v>74</v>
      </c>
      <c r="AG913">
        <v>30</v>
      </c>
      <c r="AH913">
        <v>3</v>
      </c>
      <c r="AI913">
        <v>3</v>
      </c>
      <c r="AJ913">
        <v>0</v>
      </c>
      <c r="AK913">
        <v>2</v>
      </c>
      <c r="AL913" t="s">
        <v>14322</v>
      </c>
      <c r="AM913" t="s">
        <v>14323</v>
      </c>
      <c r="AN913" t="s">
        <v>14324</v>
      </c>
      <c r="AO913" t="s">
        <v>14325</v>
      </c>
      <c r="AP913" t="s">
        <v>14326</v>
      </c>
      <c r="AQ913" t="s">
        <v>74</v>
      </c>
      <c r="AR913" t="s">
        <v>14327</v>
      </c>
      <c r="AS913" t="s">
        <v>14328</v>
      </c>
      <c r="AT913" t="s">
        <v>13673</v>
      </c>
      <c r="AU913">
        <v>2006</v>
      </c>
      <c r="AV913">
        <v>35</v>
      </c>
      <c r="AW913">
        <v>3</v>
      </c>
      <c r="AX913" t="s">
        <v>74</v>
      </c>
      <c r="AY913" t="s">
        <v>74</v>
      </c>
      <c r="AZ913" t="s">
        <v>74</v>
      </c>
      <c r="BA913" t="s">
        <v>74</v>
      </c>
      <c r="BB913">
        <v>221</v>
      </c>
      <c r="BC913">
        <v>226</v>
      </c>
      <c r="BD913" t="s">
        <v>74</v>
      </c>
      <c r="BE913" t="s">
        <v>74</v>
      </c>
      <c r="BF913" t="s">
        <v>74</v>
      </c>
      <c r="BG913" t="s">
        <v>74</v>
      </c>
      <c r="BH913" t="s">
        <v>74</v>
      </c>
      <c r="BI913">
        <v>6</v>
      </c>
      <c r="BJ913" t="s">
        <v>1260</v>
      </c>
      <c r="BK913" t="s">
        <v>97</v>
      </c>
      <c r="BL913" t="s">
        <v>1260</v>
      </c>
      <c r="BM913" t="s">
        <v>14329</v>
      </c>
      <c r="BN913" t="s">
        <v>74</v>
      </c>
      <c r="BO913" t="s">
        <v>74</v>
      </c>
      <c r="BP913" t="s">
        <v>74</v>
      </c>
      <c r="BQ913" t="s">
        <v>74</v>
      </c>
      <c r="BR913" t="s">
        <v>100</v>
      </c>
      <c r="BS913" t="s">
        <v>14330</v>
      </c>
      <c r="BT913" t="str">
        <f>HYPERLINK("https%3A%2F%2Fwww.webofscience.com%2Fwos%2Fwoscc%2Ffull-record%2FWOS:000242112200005","View Full Record in Web of Science")</f>
        <v>View Full Record in Web of Science</v>
      </c>
    </row>
    <row r="914" spans="1:72" x14ac:dyDescent="0.15">
      <c r="A914" t="s">
        <v>72</v>
      </c>
      <c r="B914" t="s">
        <v>14331</v>
      </c>
      <c r="C914" t="s">
        <v>74</v>
      </c>
      <c r="D914" t="s">
        <v>74</v>
      </c>
      <c r="E914" t="s">
        <v>74</v>
      </c>
      <c r="F914" t="s">
        <v>14332</v>
      </c>
      <c r="G914" t="s">
        <v>74</v>
      </c>
      <c r="H914" t="s">
        <v>74</v>
      </c>
      <c r="I914" t="s">
        <v>14333</v>
      </c>
      <c r="J914" t="s">
        <v>14334</v>
      </c>
      <c r="K914" t="s">
        <v>74</v>
      </c>
      <c r="L914" t="s">
        <v>74</v>
      </c>
      <c r="M914" t="s">
        <v>78</v>
      </c>
      <c r="N914" t="s">
        <v>79</v>
      </c>
      <c r="O914" t="s">
        <v>74</v>
      </c>
      <c r="P914" t="s">
        <v>74</v>
      </c>
      <c r="Q914" t="s">
        <v>74</v>
      </c>
      <c r="R914" t="s">
        <v>74</v>
      </c>
      <c r="S914" t="s">
        <v>74</v>
      </c>
      <c r="T914" t="s">
        <v>14335</v>
      </c>
      <c r="U914" t="s">
        <v>14336</v>
      </c>
      <c r="V914" t="s">
        <v>14337</v>
      </c>
      <c r="W914" t="s">
        <v>14338</v>
      </c>
      <c r="X914" t="s">
        <v>10656</v>
      </c>
      <c r="Y914" t="s">
        <v>14339</v>
      </c>
      <c r="Z914" t="s">
        <v>14340</v>
      </c>
      <c r="AA914" t="s">
        <v>14341</v>
      </c>
      <c r="AB914" t="s">
        <v>14342</v>
      </c>
      <c r="AC914" t="s">
        <v>74</v>
      </c>
      <c r="AD914" t="s">
        <v>74</v>
      </c>
      <c r="AE914" t="s">
        <v>74</v>
      </c>
      <c r="AF914" t="s">
        <v>74</v>
      </c>
      <c r="AG914">
        <v>82</v>
      </c>
      <c r="AH914">
        <v>53</v>
      </c>
      <c r="AI914">
        <v>59</v>
      </c>
      <c r="AJ914">
        <v>3</v>
      </c>
      <c r="AK914">
        <v>13</v>
      </c>
      <c r="AL914" t="s">
        <v>613</v>
      </c>
      <c r="AM914" t="s">
        <v>678</v>
      </c>
      <c r="AN914" t="s">
        <v>4336</v>
      </c>
      <c r="AO914" t="s">
        <v>14343</v>
      </c>
      <c r="AP914" t="s">
        <v>74</v>
      </c>
      <c r="AQ914" t="s">
        <v>74</v>
      </c>
      <c r="AR914" t="s">
        <v>14344</v>
      </c>
      <c r="AS914" t="s">
        <v>14345</v>
      </c>
      <c r="AT914" t="s">
        <v>13673</v>
      </c>
      <c r="AU914">
        <v>2006</v>
      </c>
      <c r="AV914">
        <v>95</v>
      </c>
      <c r="AW914">
        <v>5</v>
      </c>
      <c r="AX914" t="s">
        <v>74</v>
      </c>
      <c r="AY914" t="s">
        <v>74</v>
      </c>
      <c r="AZ914" t="s">
        <v>74</v>
      </c>
      <c r="BA914" t="s">
        <v>74</v>
      </c>
      <c r="BB914">
        <v>759</v>
      </c>
      <c r="BC914">
        <v>770</v>
      </c>
      <c r="BD914" t="s">
        <v>74</v>
      </c>
      <c r="BE914" t="s">
        <v>14346</v>
      </c>
      <c r="BF914" t="str">
        <f>HYPERLINK("http://dx.doi.org/10.1007/s00531-005-0063-5","http://dx.doi.org/10.1007/s00531-005-0063-5")</f>
        <v>http://dx.doi.org/10.1007/s00531-005-0063-5</v>
      </c>
      <c r="BG914" t="s">
        <v>74</v>
      </c>
      <c r="BH914" t="s">
        <v>74</v>
      </c>
      <c r="BI914">
        <v>12</v>
      </c>
      <c r="BJ914" t="s">
        <v>685</v>
      </c>
      <c r="BK914" t="s">
        <v>97</v>
      </c>
      <c r="BL914" t="s">
        <v>642</v>
      </c>
      <c r="BM914" t="s">
        <v>14347</v>
      </c>
      <c r="BN914" t="s">
        <v>74</v>
      </c>
      <c r="BO914" t="s">
        <v>74</v>
      </c>
      <c r="BP914" t="s">
        <v>74</v>
      </c>
      <c r="BQ914" t="s">
        <v>74</v>
      </c>
      <c r="BR914" t="s">
        <v>100</v>
      </c>
      <c r="BS914" t="s">
        <v>14348</v>
      </c>
      <c r="BT914" t="str">
        <f>HYPERLINK("https%3A%2F%2Fwww.webofscience.com%2Fwos%2Fwoscc%2Ffull-record%2FWOS:000240071000002","View Full Record in Web of Science")</f>
        <v>View Full Record in Web of Science</v>
      </c>
    </row>
    <row r="915" spans="1:72" x14ac:dyDescent="0.15">
      <c r="A915" t="s">
        <v>72</v>
      </c>
      <c r="B915" t="s">
        <v>14349</v>
      </c>
      <c r="C915" t="s">
        <v>74</v>
      </c>
      <c r="D915" t="s">
        <v>74</v>
      </c>
      <c r="E915" t="s">
        <v>74</v>
      </c>
      <c r="F915" t="s">
        <v>14350</v>
      </c>
      <c r="G915" t="s">
        <v>74</v>
      </c>
      <c r="H915" t="s">
        <v>74</v>
      </c>
      <c r="I915" t="s">
        <v>14351</v>
      </c>
      <c r="J915" t="s">
        <v>14352</v>
      </c>
      <c r="K915" t="s">
        <v>74</v>
      </c>
      <c r="L915" t="s">
        <v>74</v>
      </c>
      <c r="M915" t="s">
        <v>78</v>
      </c>
      <c r="N915" t="s">
        <v>4036</v>
      </c>
      <c r="O915" t="s">
        <v>74</v>
      </c>
      <c r="P915" t="s">
        <v>74</v>
      </c>
      <c r="Q915" t="s">
        <v>74</v>
      </c>
      <c r="R915" t="s">
        <v>74</v>
      </c>
      <c r="S915" t="s">
        <v>74</v>
      </c>
      <c r="T915" t="s">
        <v>74</v>
      </c>
      <c r="U915" t="s">
        <v>74</v>
      </c>
      <c r="V915" t="s">
        <v>74</v>
      </c>
      <c r="W915" t="s">
        <v>14353</v>
      </c>
      <c r="X915" t="s">
        <v>14354</v>
      </c>
      <c r="Y915" t="s">
        <v>14355</v>
      </c>
      <c r="Z915" t="s">
        <v>74</v>
      </c>
      <c r="AA915" t="s">
        <v>74</v>
      </c>
      <c r="AB915" t="s">
        <v>74</v>
      </c>
      <c r="AC915" t="s">
        <v>74</v>
      </c>
      <c r="AD915" t="s">
        <v>74</v>
      </c>
      <c r="AE915" t="s">
        <v>74</v>
      </c>
      <c r="AF915" t="s">
        <v>74</v>
      </c>
      <c r="AG915">
        <v>1</v>
      </c>
      <c r="AH915">
        <v>0</v>
      </c>
      <c r="AI915">
        <v>0</v>
      </c>
      <c r="AJ915">
        <v>0</v>
      </c>
      <c r="AK915">
        <v>0</v>
      </c>
      <c r="AL915" t="s">
        <v>7983</v>
      </c>
      <c r="AM915" t="s">
        <v>7984</v>
      </c>
      <c r="AN915" t="s">
        <v>7985</v>
      </c>
      <c r="AO915" t="s">
        <v>14356</v>
      </c>
      <c r="AP915" t="s">
        <v>74</v>
      </c>
      <c r="AQ915" t="s">
        <v>74</v>
      </c>
      <c r="AR915" t="s">
        <v>14352</v>
      </c>
      <c r="AS915" t="s">
        <v>14357</v>
      </c>
      <c r="AT915" t="s">
        <v>13673</v>
      </c>
      <c r="AU915">
        <v>2006</v>
      </c>
      <c r="AV915">
        <v>97</v>
      </c>
      <c r="AW915">
        <v>3</v>
      </c>
      <c r="AX915" t="s">
        <v>74</v>
      </c>
      <c r="AY915" t="s">
        <v>74</v>
      </c>
      <c r="AZ915" t="s">
        <v>74</v>
      </c>
      <c r="BA915" t="s">
        <v>74</v>
      </c>
      <c r="BB915">
        <v>568</v>
      </c>
      <c r="BC915">
        <v>569</v>
      </c>
      <c r="BD915" t="s">
        <v>74</v>
      </c>
      <c r="BE915" t="s">
        <v>14358</v>
      </c>
      <c r="BF915" t="str">
        <f>HYPERLINK("http://dx.doi.org/10.1086/509981","http://dx.doi.org/10.1086/509981")</f>
        <v>http://dx.doi.org/10.1086/509981</v>
      </c>
      <c r="BG915" t="s">
        <v>74</v>
      </c>
      <c r="BH915" t="s">
        <v>74</v>
      </c>
      <c r="BI915">
        <v>2</v>
      </c>
      <c r="BJ915" t="s">
        <v>12166</v>
      </c>
      <c r="BK915" t="s">
        <v>3330</v>
      </c>
      <c r="BL915" t="s">
        <v>12167</v>
      </c>
      <c r="BM915" t="s">
        <v>14359</v>
      </c>
      <c r="BN915" t="s">
        <v>74</v>
      </c>
      <c r="BO915" t="s">
        <v>74</v>
      </c>
      <c r="BP915" t="s">
        <v>74</v>
      </c>
      <c r="BQ915" t="s">
        <v>74</v>
      </c>
      <c r="BR915" t="s">
        <v>100</v>
      </c>
      <c r="BS915" t="s">
        <v>14360</v>
      </c>
      <c r="BT915" t="str">
        <f>HYPERLINK("https%3A%2F%2Fwww.webofscience.com%2Fwos%2Fwoscc%2Ffull-record%2FWOS:000241308400037","View Full Record in Web of Science")</f>
        <v>View Full Record in Web of Science</v>
      </c>
    </row>
    <row r="916" spans="1:72" x14ac:dyDescent="0.15">
      <c r="A916" t="s">
        <v>72</v>
      </c>
      <c r="B916" t="s">
        <v>14361</v>
      </c>
      <c r="C916" t="s">
        <v>74</v>
      </c>
      <c r="D916" t="s">
        <v>74</v>
      </c>
      <c r="E916" t="s">
        <v>74</v>
      </c>
      <c r="F916" t="s">
        <v>14362</v>
      </c>
      <c r="G916" t="s">
        <v>74</v>
      </c>
      <c r="H916" t="s">
        <v>74</v>
      </c>
      <c r="I916" t="s">
        <v>14363</v>
      </c>
      <c r="J916" t="s">
        <v>14364</v>
      </c>
      <c r="K916" t="s">
        <v>74</v>
      </c>
      <c r="L916" t="s">
        <v>74</v>
      </c>
      <c r="M916" t="s">
        <v>78</v>
      </c>
      <c r="N916" t="s">
        <v>52</v>
      </c>
      <c r="O916" t="s">
        <v>14365</v>
      </c>
      <c r="P916" t="s">
        <v>14366</v>
      </c>
      <c r="Q916" t="s">
        <v>14367</v>
      </c>
      <c r="R916" t="s">
        <v>74</v>
      </c>
      <c r="S916" t="s">
        <v>74</v>
      </c>
      <c r="T916" t="s">
        <v>74</v>
      </c>
      <c r="U916" t="s">
        <v>74</v>
      </c>
      <c r="V916" t="s">
        <v>74</v>
      </c>
      <c r="W916" t="s">
        <v>14368</v>
      </c>
      <c r="X916" t="s">
        <v>14369</v>
      </c>
      <c r="Y916" t="s">
        <v>74</v>
      </c>
      <c r="Z916" t="s">
        <v>74</v>
      </c>
      <c r="AA916" t="s">
        <v>74</v>
      </c>
      <c r="AB916" t="s">
        <v>74</v>
      </c>
      <c r="AC916" t="s">
        <v>74</v>
      </c>
      <c r="AD916" t="s">
        <v>74</v>
      </c>
      <c r="AE916" t="s">
        <v>74</v>
      </c>
      <c r="AF916" t="s">
        <v>74</v>
      </c>
      <c r="AG916">
        <v>0</v>
      </c>
      <c r="AH916">
        <v>0</v>
      </c>
      <c r="AI916">
        <v>0</v>
      </c>
      <c r="AJ916">
        <v>0</v>
      </c>
      <c r="AK916">
        <v>1</v>
      </c>
      <c r="AL916" t="s">
        <v>14370</v>
      </c>
      <c r="AM916" t="s">
        <v>5498</v>
      </c>
      <c r="AN916" t="s">
        <v>14371</v>
      </c>
      <c r="AO916" t="s">
        <v>14372</v>
      </c>
      <c r="AP916" t="s">
        <v>74</v>
      </c>
      <c r="AQ916" t="s">
        <v>74</v>
      </c>
      <c r="AR916" t="s">
        <v>14373</v>
      </c>
      <c r="AS916" t="s">
        <v>14374</v>
      </c>
      <c r="AT916" t="s">
        <v>13673</v>
      </c>
      <c r="AU916">
        <v>2006</v>
      </c>
      <c r="AV916">
        <v>21</v>
      </c>
      <c r="AW916" t="s">
        <v>74</v>
      </c>
      <c r="AX916" t="s">
        <v>74</v>
      </c>
      <c r="AY916">
        <v>1</v>
      </c>
      <c r="AZ916" t="s">
        <v>74</v>
      </c>
      <c r="BA916" t="s">
        <v>74</v>
      </c>
      <c r="BB916" t="s">
        <v>14375</v>
      </c>
      <c r="BC916" t="s">
        <v>14375</v>
      </c>
      <c r="BD916" t="s">
        <v>74</v>
      </c>
      <c r="BE916" t="s">
        <v>74</v>
      </c>
      <c r="BF916" t="s">
        <v>74</v>
      </c>
      <c r="BG916" t="s">
        <v>74</v>
      </c>
      <c r="BH916" t="s">
        <v>74</v>
      </c>
      <c r="BI916">
        <v>1</v>
      </c>
      <c r="BJ916" t="s">
        <v>14376</v>
      </c>
      <c r="BK916" t="s">
        <v>1847</v>
      </c>
      <c r="BL916" t="s">
        <v>14376</v>
      </c>
      <c r="BM916" t="s">
        <v>14377</v>
      </c>
      <c r="BN916" t="s">
        <v>74</v>
      </c>
      <c r="BO916" t="s">
        <v>74</v>
      </c>
      <c r="BP916" t="s">
        <v>74</v>
      </c>
      <c r="BQ916" t="s">
        <v>74</v>
      </c>
      <c r="BR916" t="s">
        <v>100</v>
      </c>
      <c r="BS916" t="s">
        <v>14378</v>
      </c>
      <c r="BT916" t="str">
        <f>HYPERLINK("https%3A%2F%2Fwww.webofscience.com%2Fwos%2Fwoscc%2Ffull-record%2FWOS:000240866302423","View Full Record in Web of Science")</f>
        <v>View Full Record in Web of Science</v>
      </c>
    </row>
    <row r="917" spans="1:72" x14ac:dyDescent="0.15">
      <c r="A917" t="s">
        <v>72</v>
      </c>
      <c r="B917" t="s">
        <v>14379</v>
      </c>
      <c r="C917" t="s">
        <v>74</v>
      </c>
      <c r="D917" t="s">
        <v>74</v>
      </c>
      <c r="E917" t="s">
        <v>74</v>
      </c>
      <c r="F917" t="s">
        <v>14380</v>
      </c>
      <c r="G917" t="s">
        <v>74</v>
      </c>
      <c r="H917" t="s">
        <v>74</v>
      </c>
      <c r="I917" t="s">
        <v>14381</v>
      </c>
      <c r="J917" t="s">
        <v>9899</v>
      </c>
      <c r="K917" t="s">
        <v>74</v>
      </c>
      <c r="L917" t="s">
        <v>74</v>
      </c>
      <c r="M917" t="s">
        <v>78</v>
      </c>
      <c r="N917" t="s">
        <v>79</v>
      </c>
      <c r="O917" t="s">
        <v>74</v>
      </c>
      <c r="P917" t="s">
        <v>74</v>
      </c>
      <c r="Q917" t="s">
        <v>74</v>
      </c>
      <c r="R917" t="s">
        <v>74</v>
      </c>
      <c r="S917" t="s">
        <v>74</v>
      </c>
      <c r="T917" t="s">
        <v>74</v>
      </c>
      <c r="U917" t="s">
        <v>14382</v>
      </c>
      <c r="V917" t="s">
        <v>14383</v>
      </c>
      <c r="W917" t="s">
        <v>14384</v>
      </c>
      <c r="X917" t="s">
        <v>4757</v>
      </c>
      <c r="Y917" t="s">
        <v>14385</v>
      </c>
      <c r="Z917" t="s">
        <v>74</v>
      </c>
      <c r="AA917" t="s">
        <v>14386</v>
      </c>
      <c r="AB917" t="s">
        <v>14387</v>
      </c>
      <c r="AC917" t="s">
        <v>74</v>
      </c>
      <c r="AD917" t="s">
        <v>74</v>
      </c>
      <c r="AE917" t="s">
        <v>74</v>
      </c>
      <c r="AF917" t="s">
        <v>74</v>
      </c>
      <c r="AG917">
        <v>63</v>
      </c>
      <c r="AH917">
        <v>250</v>
      </c>
      <c r="AI917">
        <v>274</v>
      </c>
      <c r="AJ917">
        <v>5</v>
      </c>
      <c r="AK917">
        <v>58</v>
      </c>
      <c r="AL917" t="s">
        <v>4064</v>
      </c>
      <c r="AM917" t="s">
        <v>4065</v>
      </c>
      <c r="AN917" t="s">
        <v>4097</v>
      </c>
      <c r="AO917" t="s">
        <v>9906</v>
      </c>
      <c r="AP917" t="s">
        <v>9907</v>
      </c>
      <c r="AQ917" t="s">
        <v>74</v>
      </c>
      <c r="AR917" t="s">
        <v>9908</v>
      </c>
      <c r="AS917" t="s">
        <v>9909</v>
      </c>
      <c r="AT917" t="s">
        <v>13673</v>
      </c>
      <c r="AU917">
        <v>2006</v>
      </c>
      <c r="AV917">
        <v>19</v>
      </c>
      <c r="AW917">
        <v>18</v>
      </c>
      <c r="AX917" t="s">
        <v>74</v>
      </c>
      <c r="AY917" t="s">
        <v>74</v>
      </c>
      <c r="AZ917" t="s">
        <v>74</v>
      </c>
      <c r="BA917" t="s">
        <v>74</v>
      </c>
      <c r="BB917">
        <v>4457</v>
      </c>
      <c r="BC917">
        <v>4486</v>
      </c>
      <c r="BD917" t="s">
        <v>74</v>
      </c>
      <c r="BE917" t="s">
        <v>14388</v>
      </c>
      <c r="BF917" t="str">
        <f>HYPERLINK("http://dx.doi.org/10.1175/JCLI3843.1","http://dx.doi.org/10.1175/JCLI3843.1")</f>
        <v>http://dx.doi.org/10.1175/JCLI3843.1</v>
      </c>
      <c r="BG917" t="s">
        <v>74</v>
      </c>
      <c r="BH917" t="s">
        <v>74</v>
      </c>
      <c r="BI917">
        <v>30</v>
      </c>
      <c r="BJ917" t="s">
        <v>3208</v>
      </c>
      <c r="BK917" t="s">
        <v>97</v>
      </c>
      <c r="BL917" t="s">
        <v>3208</v>
      </c>
      <c r="BM917" t="s">
        <v>14389</v>
      </c>
      <c r="BN917" t="s">
        <v>74</v>
      </c>
      <c r="BO917" t="s">
        <v>124</v>
      </c>
      <c r="BP917" t="s">
        <v>74</v>
      </c>
      <c r="BQ917" t="s">
        <v>74</v>
      </c>
      <c r="BR917" t="s">
        <v>100</v>
      </c>
      <c r="BS917" t="s">
        <v>14390</v>
      </c>
      <c r="BT917" t="str">
        <f>HYPERLINK("https%3A%2F%2Fwww.webofscience.com%2Fwos%2Fwoscc%2Ffull-record%2FWOS:000240987000001","View Full Record in Web of Science")</f>
        <v>View Full Record in Web of Science</v>
      </c>
    </row>
    <row r="918" spans="1:72" x14ac:dyDescent="0.15">
      <c r="A918" t="s">
        <v>72</v>
      </c>
      <c r="B918" t="s">
        <v>14391</v>
      </c>
      <c r="C918" t="s">
        <v>74</v>
      </c>
      <c r="D918" t="s">
        <v>74</v>
      </c>
      <c r="E918" t="s">
        <v>74</v>
      </c>
      <c r="F918" t="s">
        <v>14392</v>
      </c>
      <c r="G918" t="s">
        <v>74</v>
      </c>
      <c r="H918" t="s">
        <v>74</v>
      </c>
      <c r="I918" t="s">
        <v>14393</v>
      </c>
      <c r="J918" t="s">
        <v>9899</v>
      </c>
      <c r="K918" t="s">
        <v>74</v>
      </c>
      <c r="L918" t="s">
        <v>74</v>
      </c>
      <c r="M918" t="s">
        <v>78</v>
      </c>
      <c r="N918" t="s">
        <v>79</v>
      </c>
      <c r="O918" t="s">
        <v>74</v>
      </c>
      <c r="P918" t="s">
        <v>74</v>
      </c>
      <c r="Q918" t="s">
        <v>74</v>
      </c>
      <c r="R918" t="s">
        <v>74</v>
      </c>
      <c r="S918" t="s">
        <v>74</v>
      </c>
      <c r="T918" t="s">
        <v>74</v>
      </c>
      <c r="U918" t="s">
        <v>14394</v>
      </c>
      <c r="V918" t="s">
        <v>14395</v>
      </c>
      <c r="W918" t="s">
        <v>14396</v>
      </c>
      <c r="X918" t="s">
        <v>14397</v>
      </c>
      <c r="Y918" t="s">
        <v>14398</v>
      </c>
      <c r="Z918" t="s">
        <v>14399</v>
      </c>
      <c r="AA918" t="s">
        <v>14400</v>
      </c>
      <c r="AB918" t="s">
        <v>14401</v>
      </c>
      <c r="AC918" t="s">
        <v>74</v>
      </c>
      <c r="AD918" t="s">
        <v>74</v>
      </c>
      <c r="AE918" t="s">
        <v>74</v>
      </c>
      <c r="AF918" t="s">
        <v>74</v>
      </c>
      <c r="AG918">
        <v>29</v>
      </c>
      <c r="AH918">
        <v>129</v>
      </c>
      <c r="AI918">
        <v>137</v>
      </c>
      <c r="AJ918">
        <v>1</v>
      </c>
      <c r="AK918">
        <v>25</v>
      </c>
      <c r="AL918" t="s">
        <v>4064</v>
      </c>
      <c r="AM918" t="s">
        <v>4065</v>
      </c>
      <c r="AN918" t="s">
        <v>4066</v>
      </c>
      <c r="AO918" t="s">
        <v>9906</v>
      </c>
      <c r="AP918" t="s">
        <v>9907</v>
      </c>
      <c r="AQ918" t="s">
        <v>74</v>
      </c>
      <c r="AR918" t="s">
        <v>9908</v>
      </c>
      <c r="AS918" t="s">
        <v>9909</v>
      </c>
      <c r="AT918" t="s">
        <v>13673</v>
      </c>
      <c r="AU918">
        <v>2006</v>
      </c>
      <c r="AV918">
        <v>19</v>
      </c>
      <c r="AW918">
        <v>18</v>
      </c>
      <c r="AX918" t="s">
        <v>74</v>
      </c>
      <c r="AY918" t="s">
        <v>74</v>
      </c>
      <c r="AZ918" t="s">
        <v>74</v>
      </c>
      <c r="BA918" t="s">
        <v>74</v>
      </c>
      <c r="BB918">
        <v>4560</v>
      </c>
      <c r="BC918">
        <v>4575</v>
      </c>
      <c r="BD918" t="s">
        <v>74</v>
      </c>
      <c r="BE918" t="s">
        <v>14402</v>
      </c>
      <c r="BF918" t="str">
        <f>HYPERLINK("http://dx.doi.org/10.1175/JCLI3869.1","http://dx.doi.org/10.1175/JCLI3869.1")</f>
        <v>http://dx.doi.org/10.1175/JCLI3869.1</v>
      </c>
      <c r="BG918" t="s">
        <v>74</v>
      </c>
      <c r="BH918" t="s">
        <v>74</v>
      </c>
      <c r="BI918">
        <v>16</v>
      </c>
      <c r="BJ918" t="s">
        <v>3208</v>
      </c>
      <c r="BK918" t="s">
        <v>97</v>
      </c>
      <c r="BL918" t="s">
        <v>3208</v>
      </c>
      <c r="BM918" t="s">
        <v>14389</v>
      </c>
      <c r="BN918" t="s">
        <v>74</v>
      </c>
      <c r="BO918" t="s">
        <v>2155</v>
      </c>
      <c r="BP918" t="s">
        <v>74</v>
      </c>
      <c r="BQ918" t="s">
        <v>74</v>
      </c>
      <c r="BR918" t="s">
        <v>100</v>
      </c>
      <c r="BS918" t="s">
        <v>14403</v>
      </c>
      <c r="BT918" t="str">
        <f>HYPERLINK("https%3A%2F%2Fwww.webofscience.com%2Fwos%2Fwoscc%2Ffull-record%2FWOS:000240987000006","View Full Record in Web of Science")</f>
        <v>View Full Record in Web of Science</v>
      </c>
    </row>
    <row r="919" spans="1:72" x14ac:dyDescent="0.15">
      <c r="A919" t="s">
        <v>72</v>
      </c>
      <c r="B919" t="s">
        <v>4414</v>
      </c>
      <c r="C919" t="s">
        <v>74</v>
      </c>
      <c r="D919" t="s">
        <v>74</v>
      </c>
      <c r="E919" t="s">
        <v>74</v>
      </c>
      <c r="F919" t="s">
        <v>4415</v>
      </c>
      <c r="G919" t="s">
        <v>74</v>
      </c>
      <c r="H919" t="s">
        <v>74</v>
      </c>
      <c r="I919" t="s">
        <v>14404</v>
      </c>
      <c r="J919" t="s">
        <v>14405</v>
      </c>
      <c r="K919" t="s">
        <v>74</v>
      </c>
      <c r="L919" t="s">
        <v>74</v>
      </c>
      <c r="M919" t="s">
        <v>78</v>
      </c>
      <c r="N919" t="s">
        <v>79</v>
      </c>
      <c r="O919" t="s">
        <v>74</v>
      </c>
      <c r="P919" t="s">
        <v>74</v>
      </c>
      <c r="Q919" t="s">
        <v>74</v>
      </c>
      <c r="R919" t="s">
        <v>74</v>
      </c>
      <c r="S919" t="s">
        <v>74</v>
      </c>
      <c r="T919" t="s">
        <v>14406</v>
      </c>
      <c r="U919" t="s">
        <v>14407</v>
      </c>
      <c r="V919" t="s">
        <v>14408</v>
      </c>
      <c r="W919" t="s">
        <v>14409</v>
      </c>
      <c r="X919" t="s">
        <v>2632</v>
      </c>
      <c r="Y919" t="s">
        <v>14410</v>
      </c>
      <c r="Z919" t="s">
        <v>4422</v>
      </c>
      <c r="AA919" t="s">
        <v>74</v>
      </c>
      <c r="AB919" t="s">
        <v>74</v>
      </c>
      <c r="AC919" t="s">
        <v>74</v>
      </c>
      <c r="AD919" t="s">
        <v>74</v>
      </c>
      <c r="AE919" t="s">
        <v>74</v>
      </c>
      <c r="AF919" t="s">
        <v>74</v>
      </c>
      <c r="AG919">
        <v>32</v>
      </c>
      <c r="AH919">
        <v>49</v>
      </c>
      <c r="AI919">
        <v>57</v>
      </c>
      <c r="AJ919">
        <v>1</v>
      </c>
      <c r="AK919">
        <v>17</v>
      </c>
      <c r="AL919" t="s">
        <v>159</v>
      </c>
      <c r="AM919" t="s">
        <v>160</v>
      </c>
      <c r="AN919" t="s">
        <v>161</v>
      </c>
      <c r="AO919" t="s">
        <v>14411</v>
      </c>
      <c r="AP919" t="s">
        <v>14412</v>
      </c>
      <c r="AQ919" t="s">
        <v>74</v>
      </c>
      <c r="AR919" t="s">
        <v>14413</v>
      </c>
      <c r="AS919" t="s">
        <v>14414</v>
      </c>
      <c r="AT919" t="s">
        <v>13673</v>
      </c>
      <c r="AU919">
        <v>2006</v>
      </c>
      <c r="AV919">
        <v>69</v>
      </c>
      <c r="AW919">
        <v>3</v>
      </c>
      <c r="AX919" t="s">
        <v>74</v>
      </c>
      <c r="AY919" t="s">
        <v>74</v>
      </c>
      <c r="AZ919" t="s">
        <v>74</v>
      </c>
      <c r="BA919" t="s">
        <v>74</v>
      </c>
      <c r="BB919">
        <v>708</v>
      </c>
      <c r="BC919">
        <v>721</v>
      </c>
      <c r="BD919" t="s">
        <v>74</v>
      </c>
      <c r="BE919" t="s">
        <v>14415</v>
      </c>
      <c r="BF919" t="str">
        <f>HYPERLINK("http://dx.doi.org/10.1111/j.1095-8649.2006.01144.x","http://dx.doi.org/10.1111/j.1095-8649.2006.01144.x")</f>
        <v>http://dx.doi.org/10.1111/j.1095-8649.2006.01144.x</v>
      </c>
      <c r="BG919" t="s">
        <v>74</v>
      </c>
      <c r="BH919" t="s">
        <v>74</v>
      </c>
      <c r="BI919">
        <v>14</v>
      </c>
      <c r="BJ919" t="s">
        <v>7796</v>
      </c>
      <c r="BK919" t="s">
        <v>97</v>
      </c>
      <c r="BL919" t="s">
        <v>7796</v>
      </c>
      <c r="BM919" t="s">
        <v>14416</v>
      </c>
      <c r="BN919" t="s">
        <v>74</v>
      </c>
      <c r="BO919" t="s">
        <v>74</v>
      </c>
      <c r="BP919" t="s">
        <v>74</v>
      </c>
      <c r="BQ919" t="s">
        <v>74</v>
      </c>
      <c r="BR919" t="s">
        <v>100</v>
      </c>
      <c r="BS919" t="s">
        <v>14417</v>
      </c>
      <c r="BT919" t="str">
        <f>HYPERLINK("https%3A%2F%2Fwww.webofscience.com%2Fwos%2Fwoscc%2Ffull-record%2FWOS:000239796900006","View Full Record in Web of Science")</f>
        <v>View Full Record in Web of Science</v>
      </c>
    </row>
    <row r="920" spans="1:72" x14ac:dyDescent="0.15">
      <c r="A920" t="s">
        <v>72</v>
      </c>
      <c r="B920" t="s">
        <v>14418</v>
      </c>
      <c r="C920" t="s">
        <v>74</v>
      </c>
      <c r="D920" t="s">
        <v>74</v>
      </c>
      <c r="E920" t="s">
        <v>74</v>
      </c>
      <c r="F920" t="s">
        <v>14419</v>
      </c>
      <c r="G920" t="s">
        <v>74</v>
      </c>
      <c r="H920" t="s">
        <v>74</v>
      </c>
      <c r="I920" t="s">
        <v>14420</v>
      </c>
      <c r="J920" t="s">
        <v>14421</v>
      </c>
      <c r="K920" t="s">
        <v>74</v>
      </c>
      <c r="L920" t="s">
        <v>74</v>
      </c>
      <c r="M920" t="s">
        <v>78</v>
      </c>
      <c r="N920" t="s">
        <v>79</v>
      </c>
      <c r="O920" t="s">
        <v>74</v>
      </c>
      <c r="P920" t="s">
        <v>74</v>
      </c>
      <c r="Q920" t="s">
        <v>74</v>
      </c>
      <c r="R920" t="s">
        <v>74</v>
      </c>
      <c r="S920" t="s">
        <v>74</v>
      </c>
      <c r="T920" t="s">
        <v>74</v>
      </c>
      <c r="U920" t="s">
        <v>14422</v>
      </c>
      <c r="V920" t="s">
        <v>14423</v>
      </c>
      <c r="W920" t="s">
        <v>14424</v>
      </c>
      <c r="X920" t="s">
        <v>14425</v>
      </c>
      <c r="Y920" t="s">
        <v>14426</v>
      </c>
      <c r="Z920" t="s">
        <v>14427</v>
      </c>
      <c r="AA920" t="s">
        <v>74</v>
      </c>
      <c r="AB920" t="s">
        <v>74</v>
      </c>
      <c r="AC920" t="s">
        <v>74</v>
      </c>
      <c r="AD920" t="s">
        <v>74</v>
      </c>
      <c r="AE920" t="s">
        <v>74</v>
      </c>
      <c r="AF920" t="s">
        <v>74</v>
      </c>
      <c r="AG920">
        <v>60</v>
      </c>
      <c r="AH920">
        <v>17</v>
      </c>
      <c r="AI920">
        <v>17</v>
      </c>
      <c r="AJ920">
        <v>0</v>
      </c>
      <c r="AK920">
        <v>3</v>
      </c>
      <c r="AL920" t="s">
        <v>7983</v>
      </c>
      <c r="AM920" t="s">
        <v>7984</v>
      </c>
      <c r="AN920" t="s">
        <v>7985</v>
      </c>
      <c r="AO920" t="s">
        <v>14428</v>
      </c>
      <c r="AP920" t="s">
        <v>14429</v>
      </c>
      <c r="AQ920" t="s">
        <v>74</v>
      </c>
      <c r="AR920" t="s">
        <v>14430</v>
      </c>
      <c r="AS920" t="s">
        <v>14431</v>
      </c>
      <c r="AT920" t="s">
        <v>13673</v>
      </c>
      <c r="AU920">
        <v>2006</v>
      </c>
      <c r="AV920">
        <v>114</v>
      </c>
      <c r="AW920">
        <v>5</v>
      </c>
      <c r="AX920" t="s">
        <v>74</v>
      </c>
      <c r="AY920" t="s">
        <v>74</v>
      </c>
      <c r="AZ920" t="s">
        <v>74</v>
      </c>
      <c r="BA920" t="s">
        <v>74</v>
      </c>
      <c r="BB920">
        <v>615</v>
      </c>
      <c r="BC920">
        <v>625</v>
      </c>
      <c r="BD920" t="s">
        <v>74</v>
      </c>
      <c r="BE920" t="s">
        <v>14432</v>
      </c>
      <c r="BF920" t="str">
        <f>HYPERLINK("http://dx.doi.org/10.1086/506163","http://dx.doi.org/10.1086/506163")</f>
        <v>http://dx.doi.org/10.1086/506163</v>
      </c>
      <c r="BG920" t="s">
        <v>74</v>
      </c>
      <c r="BH920" t="s">
        <v>74</v>
      </c>
      <c r="BI920">
        <v>11</v>
      </c>
      <c r="BJ920" t="s">
        <v>642</v>
      </c>
      <c r="BK920" t="s">
        <v>97</v>
      </c>
      <c r="BL920" t="s">
        <v>642</v>
      </c>
      <c r="BM920" t="s">
        <v>14433</v>
      </c>
      <c r="BN920" t="s">
        <v>74</v>
      </c>
      <c r="BO920" t="s">
        <v>74</v>
      </c>
      <c r="BP920" t="s">
        <v>74</v>
      </c>
      <c r="BQ920" t="s">
        <v>74</v>
      </c>
      <c r="BR920" t="s">
        <v>100</v>
      </c>
      <c r="BS920" t="s">
        <v>14434</v>
      </c>
      <c r="BT920" t="str">
        <f>HYPERLINK("https%3A%2F%2Fwww.webofscience.com%2Fwos%2Fwoscc%2Ffull-record%2FWOS:000239831700006","View Full Record in Web of Science")</f>
        <v>View Full Record in Web of Science</v>
      </c>
    </row>
    <row r="921" spans="1:72" x14ac:dyDescent="0.15">
      <c r="A921" t="s">
        <v>72</v>
      </c>
      <c r="B921" t="s">
        <v>14435</v>
      </c>
      <c r="C921" t="s">
        <v>74</v>
      </c>
      <c r="D921" t="s">
        <v>74</v>
      </c>
      <c r="E921" t="s">
        <v>74</v>
      </c>
      <c r="F921" t="s">
        <v>14436</v>
      </c>
      <c r="G921" t="s">
        <v>74</v>
      </c>
      <c r="H921" t="s">
        <v>74</v>
      </c>
      <c r="I921" t="s">
        <v>14437</v>
      </c>
      <c r="J921" t="s">
        <v>3926</v>
      </c>
      <c r="K921" t="s">
        <v>74</v>
      </c>
      <c r="L921" t="s">
        <v>74</v>
      </c>
      <c r="M921" t="s">
        <v>78</v>
      </c>
      <c r="N921" t="s">
        <v>79</v>
      </c>
      <c r="O921" t="s">
        <v>74</v>
      </c>
      <c r="P921" t="s">
        <v>74</v>
      </c>
      <c r="Q921" t="s">
        <v>74</v>
      </c>
      <c r="R921" t="s">
        <v>74</v>
      </c>
      <c r="S921" t="s">
        <v>74</v>
      </c>
      <c r="T921" t="s">
        <v>74</v>
      </c>
      <c r="U921" t="s">
        <v>14438</v>
      </c>
      <c r="V921" t="s">
        <v>14439</v>
      </c>
      <c r="W921" t="s">
        <v>14440</v>
      </c>
      <c r="X921" t="s">
        <v>14441</v>
      </c>
      <c r="Y921" t="s">
        <v>14442</v>
      </c>
      <c r="Z921" t="s">
        <v>14443</v>
      </c>
      <c r="AA921" t="s">
        <v>74</v>
      </c>
      <c r="AB921" t="s">
        <v>14444</v>
      </c>
      <c r="AC921" t="s">
        <v>74</v>
      </c>
      <c r="AD921" t="s">
        <v>74</v>
      </c>
      <c r="AE921" t="s">
        <v>74</v>
      </c>
      <c r="AF921" t="s">
        <v>74</v>
      </c>
      <c r="AG921">
        <v>31</v>
      </c>
      <c r="AH921">
        <v>6</v>
      </c>
      <c r="AI921">
        <v>6</v>
      </c>
      <c r="AJ921">
        <v>0</v>
      </c>
      <c r="AK921">
        <v>1</v>
      </c>
      <c r="AL921" t="s">
        <v>3934</v>
      </c>
      <c r="AM921" t="s">
        <v>3935</v>
      </c>
      <c r="AN921" t="s">
        <v>3936</v>
      </c>
      <c r="AO921" t="s">
        <v>3937</v>
      </c>
      <c r="AP921" t="s">
        <v>3938</v>
      </c>
      <c r="AQ921" t="s">
        <v>74</v>
      </c>
      <c r="AR921" t="s">
        <v>3939</v>
      </c>
      <c r="AS921" t="s">
        <v>3940</v>
      </c>
      <c r="AT921" t="s">
        <v>13673</v>
      </c>
      <c r="AU921">
        <v>2006</v>
      </c>
      <c r="AV921">
        <v>64</v>
      </c>
      <c r="AW921">
        <v>5</v>
      </c>
      <c r="AX921" t="s">
        <v>74</v>
      </c>
      <c r="AY921" t="s">
        <v>74</v>
      </c>
      <c r="AZ921" t="s">
        <v>74</v>
      </c>
      <c r="BA921" t="s">
        <v>74</v>
      </c>
      <c r="BB921">
        <v>669</v>
      </c>
      <c r="BC921">
        <v>693</v>
      </c>
      <c r="BD921" t="s">
        <v>74</v>
      </c>
      <c r="BE921" t="s">
        <v>14445</v>
      </c>
      <c r="BF921" t="str">
        <f>HYPERLINK("http://dx.doi.org/10.1357/002224006779367276","http://dx.doi.org/10.1357/002224006779367276")</f>
        <v>http://dx.doi.org/10.1357/002224006779367276</v>
      </c>
      <c r="BG921" t="s">
        <v>74</v>
      </c>
      <c r="BH921" t="s">
        <v>74</v>
      </c>
      <c r="BI921">
        <v>25</v>
      </c>
      <c r="BJ921" t="s">
        <v>1260</v>
      </c>
      <c r="BK921" t="s">
        <v>97</v>
      </c>
      <c r="BL921" t="s">
        <v>1260</v>
      </c>
      <c r="BM921" t="s">
        <v>14446</v>
      </c>
      <c r="BN921" t="s">
        <v>74</v>
      </c>
      <c r="BO921" t="s">
        <v>74</v>
      </c>
      <c r="BP921" t="s">
        <v>74</v>
      </c>
      <c r="BQ921" t="s">
        <v>74</v>
      </c>
      <c r="BR921" t="s">
        <v>100</v>
      </c>
      <c r="BS921" t="s">
        <v>14447</v>
      </c>
      <c r="BT921" t="str">
        <f>HYPERLINK("https%3A%2F%2Fwww.webofscience.com%2Fwos%2Fwoscc%2Ffull-record%2FWOS:000243370200002","View Full Record in Web of Science")</f>
        <v>View Full Record in Web of Science</v>
      </c>
    </row>
    <row r="922" spans="1:72" x14ac:dyDescent="0.15">
      <c r="A922" t="s">
        <v>72</v>
      </c>
      <c r="B922" t="s">
        <v>14448</v>
      </c>
      <c r="C922" t="s">
        <v>74</v>
      </c>
      <c r="D922" t="s">
        <v>74</v>
      </c>
      <c r="E922" t="s">
        <v>74</v>
      </c>
      <c r="F922" t="s">
        <v>14449</v>
      </c>
      <c r="G922" t="s">
        <v>74</v>
      </c>
      <c r="H922" t="s">
        <v>74</v>
      </c>
      <c r="I922" t="s">
        <v>14450</v>
      </c>
      <c r="J922" t="s">
        <v>4055</v>
      </c>
      <c r="K922" t="s">
        <v>74</v>
      </c>
      <c r="L922" t="s">
        <v>74</v>
      </c>
      <c r="M922" t="s">
        <v>78</v>
      </c>
      <c r="N922" t="s">
        <v>79</v>
      </c>
      <c r="O922" t="s">
        <v>74</v>
      </c>
      <c r="P922" t="s">
        <v>74</v>
      </c>
      <c r="Q922" t="s">
        <v>74</v>
      </c>
      <c r="R922" t="s">
        <v>74</v>
      </c>
      <c r="S922" t="s">
        <v>74</v>
      </c>
      <c r="T922" t="s">
        <v>74</v>
      </c>
      <c r="U922" t="s">
        <v>14451</v>
      </c>
      <c r="V922" t="s">
        <v>14452</v>
      </c>
      <c r="W922" t="s">
        <v>14453</v>
      </c>
      <c r="X922" t="s">
        <v>14454</v>
      </c>
      <c r="Y922" t="s">
        <v>14455</v>
      </c>
      <c r="Z922" t="s">
        <v>14456</v>
      </c>
      <c r="AA922" t="s">
        <v>14457</v>
      </c>
      <c r="AB922" t="s">
        <v>14458</v>
      </c>
      <c r="AC922" t="s">
        <v>74</v>
      </c>
      <c r="AD922" t="s">
        <v>74</v>
      </c>
      <c r="AE922" t="s">
        <v>74</v>
      </c>
      <c r="AF922" t="s">
        <v>74</v>
      </c>
      <c r="AG922">
        <v>20</v>
      </c>
      <c r="AH922">
        <v>39</v>
      </c>
      <c r="AI922">
        <v>43</v>
      </c>
      <c r="AJ922">
        <v>0</v>
      </c>
      <c r="AK922">
        <v>13</v>
      </c>
      <c r="AL922" t="s">
        <v>4064</v>
      </c>
      <c r="AM922" t="s">
        <v>4065</v>
      </c>
      <c r="AN922" t="s">
        <v>4097</v>
      </c>
      <c r="AO922" t="s">
        <v>4067</v>
      </c>
      <c r="AP922" t="s">
        <v>4068</v>
      </c>
      <c r="AQ922" t="s">
        <v>74</v>
      </c>
      <c r="AR922" t="s">
        <v>4069</v>
      </c>
      <c r="AS922" t="s">
        <v>4070</v>
      </c>
      <c r="AT922" t="s">
        <v>13673</v>
      </c>
      <c r="AU922">
        <v>2006</v>
      </c>
      <c r="AV922">
        <v>36</v>
      </c>
      <c r="AW922">
        <v>9</v>
      </c>
      <c r="AX922" t="s">
        <v>74</v>
      </c>
      <c r="AY922" t="s">
        <v>74</v>
      </c>
      <c r="AZ922" t="s">
        <v>74</v>
      </c>
      <c r="BA922" t="s">
        <v>74</v>
      </c>
      <c r="BB922">
        <v>1786</v>
      </c>
      <c r="BC922">
        <v>1805</v>
      </c>
      <c r="BD922" t="s">
        <v>74</v>
      </c>
      <c r="BE922" t="s">
        <v>14459</v>
      </c>
      <c r="BF922" t="str">
        <f>HYPERLINK("http://dx.doi.org/10.1175/JPO2936.1","http://dx.doi.org/10.1175/JPO2936.1")</f>
        <v>http://dx.doi.org/10.1175/JPO2936.1</v>
      </c>
      <c r="BG922" t="s">
        <v>74</v>
      </c>
      <c r="BH922" t="s">
        <v>74</v>
      </c>
      <c r="BI922">
        <v>20</v>
      </c>
      <c r="BJ922" t="s">
        <v>1260</v>
      </c>
      <c r="BK922" t="s">
        <v>97</v>
      </c>
      <c r="BL922" t="s">
        <v>1260</v>
      </c>
      <c r="BM922" t="s">
        <v>14460</v>
      </c>
      <c r="BN922" t="s">
        <v>74</v>
      </c>
      <c r="BO922" t="s">
        <v>124</v>
      </c>
      <c r="BP922" t="s">
        <v>74</v>
      </c>
      <c r="BQ922" t="s">
        <v>74</v>
      </c>
      <c r="BR922" t="s">
        <v>100</v>
      </c>
      <c r="BS922" t="s">
        <v>14461</v>
      </c>
      <c r="BT922" t="str">
        <f>HYPERLINK("https%3A%2F%2Fwww.webofscience.com%2Fwos%2Fwoscc%2Ffull-record%2FWOS:000241041000007","View Full Record in Web of Science")</f>
        <v>View Full Record in Web of Science</v>
      </c>
    </row>
    <row r="923" spans="1:72" x14ac:dyDescent="0.15">
      <c r="A923" t="s">
        <v>72</v>
      </c>
      <c r="B923" t="s">
        <v>14462</v>
      </c>
      <c r="C923" t="s">
        <v>74</v>
      </c>
      <c r="D923" t="s">
        <v>74</v>
      </c>
      <c r="E923" t="s">
        <v>74</v>
      </c>
      <c r="F923" t="s">
        <v>14463</v>
      </c>
      <c r="G923" t="s">
        <v>74</v>
      </c>
      <c r="H923" t="s">
        <v>74</v>
      </c>
      <c r="I923" t="s">
        <v>14464</v>
      </c>
      <c r="J923" t="s">
        <v>4055</v>
      </c>
      <c r="K923" t="s">
        <v>74</v>
      </c>
      <c r="L923" t="s">
        <v>74</v>
      </c>
      <c r="M923" t="s">
        <v>78</v>
      </c>
      <c r="N923" t="s">
        <v>79</v>
      </c>
      <c r="O923" t="s">
        <v>74</v>
      </c>
      <c r="P923" t="s">
        <v>74</v>
      </c>
      <c r="Q923" t="s">
        <v>74</v>
      </c>
      <c r="R923" t="s">
        <v>74</v>
      </c>
      <c r="S923" t="s">
        <v>74</v>
      </c>
      <c r="T923" t="s">
        <v>74</v>
      </c>
      <c r="U923" t="s">
        <v>14465</v>
      </c>
      <c r="V923" t="s">
        <v>14466</v>
      </c>
      <c r="W923" t="s">
        <v>14467</v>
      </c>
      <c r="X923" t="s">
        <v>14468</v>
      </c>
      <c r="Y923" t="s">
        <v>14469</v>
      </c>
      <c r="Z923" t="s">
        <v>14470</v>
      </c>
      <c r="AA923" t="s">
        <v>14471</v>
      </c>
      <c r="AB923" t="s">
        <v>14472</v>
      </c>
      <c r="AC923" t="s">
        <v>74</v>
      </c>
      <c r="AD923" t="s">
        <v>74</v>
      </c>
      <c r="AE923" t="s">
        <v>74</v>
      </c>
      <c r="AF923" t="s">
        <v>74</v>
      </c>
      <c r="AG923">
        <v>46</v>
      </c>
      <c r="AH923">
        <v>181</v>
      </c>
      <c r="AI923">
        <v>190</v>
      </c>
      <c r="AJ923">
        <v>2</v>
      </c>
      <c r="AK923">
        <v>31</v>
      </c>
      <c r="AL923" t="s">
        <v>4064</v>
      </c>
      <c r="AM923" t="s">
        <v>4065</v>
      </c>
      <c r="AN923" t="s">
        <v>4097</v>
      </c>
      <c r="AO923" t="s">
        <v>4067</v>
      </c>
      <c r="AP923" t="s">
        <v>4068</v>
      </c>
      <c r="AQ923" t="s">
        <v>74</v>
      </c>
      <c r="AR923" t="s">
        <v>4069</v>
      </c>
      <c r="AS923" t="s">
        <v>4070</v>
      </c>
      <c r="AT923" t="s">
        <v>13673</v>
      </c>
      <c r="AU923">
        <v>2006</v>
      </c>
      <c r="AV923">
        <v>36</v>
      </c>
      <c r="AW923">
        <v>9</v>
      </c>
      <c r="AX923" t="s">
        <v>74</v>
      </c>
      <c r="AY923" t="s">
        <v>74</v>
      </c>
      <c r="AZ923" t="s">
        <v>74</v>
      </c>
      <c r="BA923" t="s">
        <v>74</v>
      </c>
      <c r="BB923">
        <v>1806</v>
      </c>
      <c r="BC923">
        <v>1821</v>
      </c>
      <c r="BD923" t="s">
        <v>74</v>
      </c>
      <c r="BE923" t="s">
        <v>14473</v>
      </c>
      <c r="BF923" t="str">
        <f>HYPERLINK("http://dx.doi.org/10.1175/JPO2949.1","http://dx.doi.org/10.1175/JPO2949.1")</f>
        <v>http://dx.doi.org/10.1175/JPO2949.1</v>
      </c>
      <c r="BG923" t="s">
        <v>74</v>
      </c>
      <c r="BH923" t="s">
        <v>74</v>
      </c>
      <c r="BI923">
        <v>16</v>
      </c>
      <c r="BJ923" t="s">
        <v>1260</v>
      </c>
      <c r="BK923" t="s">
        <v>97</v>
      </c>
      <c r="BL923" t="s">
        <v>1260</v>
      </c>
      <c r="BM923" t="s">
        <v>14460</v>
      </c>
      <c r="BN923" t="s">
        <v>74</v>
      </c>
      <c r="BO923" t="s">
        <v>124</v>
      </c>
      <c r="BP923" t="s">
        <v>74</v>
      </c>
      <c r="BQ923" t="s">
        <v>74</v>
      </c>
      <c r="BR923" t="s">
        <v>100</v>
      </c>
      <c r="BS923" t="s">
        <v>14474</v>
      </c>
      <c r="BT923" t="str">
        <f>HYPERLINK("https%3A%2F%2Fwww.webofscience.com%2Fwos%2Fwoscc%2Ffull-record%2FWOS:000241041000008","View Full Record in Web of Science")</f>
        <v>View Full Record in Web of Science</v>
      </c>
    </row>
    <row r="924" spans="1:72" x14ac:dyDescent="0.15">
      <c r="A924" t="s">
        <v>72</v>
      </c>
      <c r="B924" t="s">
        <v>14475</v>
      </c>
      <c r="C924" t="s">
        <v>74</v>
      </c>
      <c r="D924" t="s">
        <v>74</v>
      </c>
      <c r="E924" t="s">
        <v>74</v>
      </c>
      <c r="F924" t="s">
        <v>14476</v>
      </c>
      <c r="G924" t="s">
        <v>74</v>
      </c>
      <c r="H924" t="s">
        <v>74</v>
      </c>
      <c r="I924" t="s">
        <v>14477</v>
      </c>
      <c r="J924" t="s">
        <v>9100</v>
      </c>
      <c r="K924" t="s">
        <v>74</v>
      </c>
      <c r="L924" t="s">
        <v>74</v>
      </c>
      <c r="M924" t="s">
        <v>78</v>
      </c>
      <c r="N924" t="s">
        <v>79</v>
      </c>
      <c r="O924" t="s">
        <v>74</v>
      </c>
      <c r="P924" t="s">
        <v>74</v>
      </c>
      <c r="Q924" t="s">
        <v>74</v>
      </c>
      <c r="R924" t="s">
        <v>74</v>
      </c>
      <c r="S924" t="s">
        <v>74</v>
      </c>
      <c r="T924" t="s">
        <v>74</v>
      </c>
      <c r="U924" t="s">
        <v>14478</v>
      </c>
      <c r="V924" t="s">
        <v>14479</v>
      </c>
      <c r="W924" t="s">
        <v>14480</v>
      </c>
      <c r="X924" t="s">
        <v>14481</v>
      </c>
      <c r="Y924" t="s">
        <v>14482</v>
      </c>
      <c r="Z924" t="s">
        <v>14483</v>
      </c>
      <c r="AA924" t="s">
        <v>74</v>
      </c>
      <c r="AB924" t="s">
        <v>74</v>
      </c>
      <c r="AC924" t="s">
        <v>74</v>
      </c>
      <c r="AD924" t="s">
        <v>74</v>
      </c>
      <c r="AE924" t="s">
        <v>74</v>
      </c>
      <c r="AF924" t="s">
        <v>74</v>
      </c>
      <c r="AG924">
        <v>16</v>
      </c>
      <c r="AH924">
        <v>10</v>
      </c>
      <c r="AI924">
        <v>10</v>
      </c>
      <c r="AJ924">
        <v>0</v>
      </c>
      <c r="AK924">
        <v>10</v>
      </c>
      <c r="AL924" t="s">
        <v>2467</v>
      </c>
      <c r="AM924" t="s">
        <v>818</v>
      </c>
      <c r="AN924" t="s">
        <v>2468</v>
      </c>
      <c r="AO924" t="s">
        <v>9109</v>
      </c>
      <c r="AP924" t="s">
        <v>74</v>
      </c>
      <c r="AQ924" t="s">
        <v>74</v>
      </c>
      <c r="AR924" t="s">
        <v>9111</v>
      </c>
      <c r="AS924" t="s">
        <v>9112</v>
      </c>
      <c r="AT924" t="s">
        <v>13673</v>
      </c>
      <c r="AU924">
        <v>2006</v>
      </c>
      <c r="AV924">
        <v>28</v>
      </c>
      <c r="AW924">
        <v>9</v>
      </c>
      <c r="AX924" t="s">
        <v>74</v>
      </c>
      <c r="AY924" t="s">
        <v>74</v>
      </c>
      <c r="AZ924" t="s">
        <v>74</v>
      </c>
      <c r="BA924" t="s">
        <v>74</v>
      </c>
      <c r="BB924">
        <v>847</v>
      </c>
      <c r="BC924">
        <v>855</v>
      </c>
      <c r="BD924" t="s">
        <v>74</v>
      </c>
      <c r="BE924" t="s">
        <v>14484</v>
      </c>
      <c r="BF924" t="str">
        <f>HYPERLINK("http://dx.doi.org/10.1093/plankt/fbl020","http://dx.doi.org/10.1093/plankt/fbl020")</f>
        <v>http://dx.doi.org/10.1093/plankt/fbl020</v>
      </c>
      <c r="BG924" t="s">
        <v>74</v>
      </c>
      <c r="BH924" t="s">
        <v>74</v>
      </c>
      <c r="BI924">
        <v>9</v>
      </c>
      <c r="BJ924" t="s">
        <v>4206</v>
      </c>
      <c r="BK924" t="s">
        <v>97</v>
      </c>
      <c r="BL924" t="s">
        <v>4206</v>
      </c>
      <c r="BM924" t="s">
        <v>14485</v>
      </c>
      <c r="BN924" t="s">
        <v>74</v>
      </c>
      <c r="BO924" t="s">
        <v>124</v>
      </c>
      <c r="BP924" t="s">
        <v>74</v>
      </c>
      <c r="BQ924" t="s">
        <v>74</v>
      </c>
      <c r="BR924" t="s">
        <v>100</v>
      </c>
      <c r="BS924" t="s">
        <v>14486</v>
      </c>
      <c r="BT924" t="str">
        <f>HYPERLINK("https%3A%2F%2Fwww.webofscience.com%2Fwos%2Fwoscc%2Ffull-record%2FWOS:000240629800005","View Full Record in Web of Science")</f>
        <v>View Full Record in Web of Science</v>
      </c>
    </row>
    <row r="925" spans="1:72" x14ac:dyDescent="0.15">
      <c r="A925" t="s">
        <v>72</v>
      </c>
      <c r="B925" t="s">
        <v>14487</v>
      </c>
      <c r="C925" t="s">
        <v>74</v>
      </c>
      <c r="D925" t="s">
        <v>74</v>
      </c>
      <c r="E925" t="s">
        <v>74</v>
      </c>
      <c r="F925" t="s">
        <v>14488</v>
      </c>
      <c r="G925" t="s">
        <v>74</v>
      </c>
      <c r="H925" t="s">
        <v>74</v>
      </c>
      <c r="I925" t="s">
        <v>14489</v>
      </c>
      <c r="J925" t="s">
        <v>9100</v>
      </c>
      <c r="K925" t="s">
        <v>74</v>
      </c>
      <c r="L925" t="s">
        <v>74</v>
      </c>
      <c r="M925" t="s">
        <v>78</v>
      </c>
      <c r="N925" t="s">
        <v>1431</v>
      </c>
      <c r="O925" t="s">
        <v>74</v>
      </c>
      <c r="P925" t="s">
        <v>74</v>
      </c>
      <c r="Q925" t="s">
        <v>74</v>
      </c>
      <c r="R925" t="s">
        <v>74</v>
      </c>
      <c r="S925" t="s">
        <v>74</v>
      </c>
      <c r="T925" t="s">
        <v>74</v>
      </c>
      <c r="U925" t="s">
        <v>14490</v>
      </c>
      <c r="V925" t="s">
        <v>74</v>
      </c>
      <c r="W925" t="s">
        <v>14491</v>
      </c>
      <c r="X925" t="s">
        <v>14492</v>
      </c>
      <c r="Y925" t="s">
        <v>14493</v>
      </c>
      <c r="Z925" t="s">
        <v>14494</v>
      </c>
      <c r="AA925" t="s">
        <v>14495</v>
      </c>
      <c r="AB925" t="s">
        <v>14496</v>
      </c>
      <c r="AC925" t="s">
        <v>14497</v>
      </c>
      <c r="AD925" t="s">
        <v>1647</v>
      </c>
      <c r="AE925" t="s">
        <v>74</v>
      </c>
      <c r="AF925" t="s">
        <v>74</v>
      </c>
      <c r="AG925">
        <v>12</v>
      </c>
      <c r="AH925">
        <v>32</v>
      </c>
      <c r="AI925">
        <v>37</v>
      </c>
      <c r="AJ925">
        <v>0</v>
      </c>
      <c r="AK925">
        <v>19</v>
      </c>
      <c r="AL925" t="s">
        <v>2467</v>
      </c>
      <c r="AM925" t="s">
        <v>818</v>
      </c>
      <c r="AN925" t="s">
        <v>2468</v>
      </c>
      <c r="AO925" t="s">
        <v>9109</v>
      </c>
      <c r="AP925" t="s">
        <v>9110</v>
      </c>
      <c r="AQ925" t="s">
        <v>74</v>
      </c>
      <c r="AR925" t="s">
        <v>9111</v>
      </c>
      <c r="AS925" t="s">
        <v>9112</v>
      </c>
      <c r="AT925" t="s">
        <v>13673</v>
      </c>
      <c r="AU925">
        <v>2006</v>
      </c>
      <c r="AV925">
        <v>28</v>
      </c>
      <c r="AW925">
        <v>9</v>
      </c>
      <c r="AX925" t="s">
        <v>74</v>
      </c>
      <c r="AY925" t="s">
        <v>74</v>
      </c>
      <c r="AZ925" t="s">
        <v>74</v>
      </c>
      <c r="BA925" t="s">
        <v>74</v>
      </c>
      <c r="BB925">
        <v>871</v>
      </c>
      <c r="BC925">
        <v>872</v>
      </c>
      <c r="BD925" t="s">
        <v>74</v>
      </c>
      <c r="BE925" t="s">
        <v>14498</v>
      </c>
      <c r="BF925" t="str">
        <f>HYPERLINK("http://dx.doi.org/10.1093/plankt/fbl014","http://dx.doi.org/10.1093/plankt/fbl014")</f>
        <v>http://dx.doi.org/10.1093/plankt/fbl014</v>
      </c>
      <c r="BG925" t="s">
        <v>74</v>
      </c>
      <c r="BH925" t="s">
        <v>74</v>
      </c>
      <c r="BI925">
        <v>2</v>
      </c>
      <c r="BJ925" t="s">
        <v>4206</v>
      </c>
      <c r="BK925" t="s">
        <v>97</v>
      </c>
      <c r="BL925" t="s">
        <v>4206</v>
      </c>
      <c r="BM925" t="s">
        <v>14485</v>
      </c>
      <c r="BN925" t="s">
        <v>74</v>
      </c>
      <c r="BO925" t="s">
        <v>124</v>
      </c>
      <c r="BP925" t="s">
        <v>74</v>
      </c>
      <c r="BQ925" t="s">
        <v>74</v>
      </c>
      <c r="BR925" t="s">
        <v>100</v>
      </c>
      <c r="BS925" t="s">
        <v>14499</v>
      </c>
      <c r="BT925" t="str">
        <f>HYPERLINK("https%3A%2F%2Fwww.webofscience.com%2Fwos%2Fwoscc%2Ffull-record%2FWOS:000240629800007","View Full Record in Web of Science")</f>
        <v>View Full Record in Web of Science</v>
      </c>
    </row>
    <row r="926" spans="1:72" x14ac:dyDescent="0.15">
      <c r="A926" t="s">
        <v>72</v>
      </c>
      <c r="B926" t="s">
        <v>14500</v>
      </c>
      <c r="C926" t="s">
        <v>74</v>
      </c>
      <c r="D926" t="s">
        <v>74</v>
      </c>
      <c r="E926" t="s">
        <v>74</v>
      </c>
      <c r="F926" t="s">
        <v>14501</v>
      </c>
      <c r="G926" t="s">
        <v>74</v>
      </c>
      <c r="H926" t="s">
        <v>74</v>
      </c>
      <c r="I926" t="s">
        <v>14502</v>
      </c>
      <c r="J926" t="s">
        <v>14503</v>
      </c>
      <c r="K926" t="s">
        <v>74</v>
      </c>
      <c r="L926" t="s">
        <v>74</v>
      </c>
      <c r="M926" t="s">
        <v>78</v>
      </c>
      <c r="N926" t="s">
        <v>79</v>
      </c>
      <c r="O926" t="s">
        <v>74</v>
      </c>
      <c r="P926" t="s">
        <v>74</v>
      </c>
      <c r="Q926" t="s">
        <v>74</v>
      </c>
      <c r="R926" t="s">
        <v>74</v>
      </c>
      <c r="S926" t="s">
        <v>74</v>
      </c>
      <c r="T926" t="s">
        <v>14504</v>
      </c>
      <c r="U926" t="s">
        <v>14505</v>
      </c>
      <c r="V926" t="s">
        <v>14506</v>
      </c>
      <c r="W926" t="s">
        <v>14507</v>
      </c>
      <c r="X926" t="s">
        <v>14508</v>
      </c>
      <c r="Y926" t="s">
        <v>4758</v>
      </c>
      <c r="Z926" t="s">
        <v>4759</v>
      </c>
      <c r="AA926" t="s">
        <v>14509</v>
      </c>
      <c r="AB926" t="s">
        <v>14510</v>
      </c>
      <c r="AC926" t="s">
        <v>74</v>
      </c>
      <c r="AD926" t="s">
        <v>74</v>
      </c>
      <c r="AE926" t="s">
        <v>74</v>
      </c>
      <c r="AF926" t="s">
        <v>74</v>
      </c>
      <c r="AG926">
        <v>45</v>
      </c>
      <c r="AH926">
        <v>30</v>
      </c>
      <c r="AI926">
        <v>30</v>
      </c>
      <c r="AJ926">
        <v>0</v>
      </c>
      <c r="AK926">
        <v>4</v>
      </c>
      <c r="AL926" t="s">
        <v>7534</v>
      </c>
      <c r="AM926" t="s">
        <v>5498</v>
      </c>
      <c r="AN926" t="s">
        <v>7535</v>
      </c>
      <c r="AO926" t="s">
        <v>14511</v>
      </c>
      <c r="AP926" t="s">
        <v>14512</v>
      </c>
      <c r="AQ926" t="s">
        <v>74</v>
      </c>
      <c r="AR926" t="s">
        <v>14513</v>
      </c>
      <c r="AS926" t="s">
        <v>14514</v>
      </c>
      <c r="AT926" t="s">
        <v>13999</v>
      </c>
      <c r="AU926">
        <v>2006</v>
      </c>
      <c r="AV926">
        <v>5</v>
      </c>
      <c r="AW926">
        <v>9</v>
      </c>
      <c r="AX926" t="s">
        <v>74</v>
      </c>
      <c r="AY926" t="s">
        <v>74</v>
      </c>
      <c r="AZ926" t="s">
        <v>74</v>
      </c>
      <c r="BA926" t="s">
        <v>74</v>
      </c>
      <c r="BB926">
        <v>2457</v>
      </c>
      <c r="BC926">
        <v>2464</v>
      </c>
      <c r="BD926" t="s">
        <v>74</v>
      </c>
      <c r="BE926" t="s">
        <v>14515</v>
      </c>
      <c r="BF926" t="str">
        <f>HYPERLINK("http://dx.doi.org/10.1021/pr060220x","http://dx.doi.org/10.1021/pr060220x")</f>
        <v>http://dx.doi.org/10.1021/pr060220x</v>
      </c>
      <c r="BG926" t="s">
        <v>74</v>
      </c>
      <c r="BH926" t="s">
        <v>74</v>
      </c>
      <c r="BI926">
        <v>8</v>
      </c>
      <c r="BJ926" t="s">
        <v>14516</v>
      </c>
      <c r="BK926" t="s">
        <v>97</v>
      </c>
      <c r="BL926" t="s">
        <v>6282</v>
      </c>
      <c r="BM926" t="s">
        <v>14517</v>
      </c>
      <c r="BN926">
        <v>16944959</v>
      </c>
      <c r="BO926" t="s">
        <v>74</v>
      </c>
      <c r="BP926" t="s">
        <v>74</v>
      </c>
      <c r="BQ926" t="s">
        <v>74</v>
      </c>
      <c r="BR926" t="s">
        <v>100</v>
      </c>
      <c r="BS926" t="s">
        <v>14518</v>
      </c>
      <c r="BT926" t="str">
        <f>HYPERLINK("https%3A%2F%2Fwww.webofscience.com%2Fwos%2Fwoscc%2Ffull-record%2FWOS:000240200700044","View Full Record in Web of Science")</f>
        <v>View Full Record in Web of Science</v>
      </c>
    </row>
    <row r="927" spans="1:72" x14ac:dyDescent="0.15">
      <c r="A927" t="s">
        <v>72</v>
      </c>
      <c r="B927" t="s">
        <v>14519</v>
      </c>
      <c r="C927" t="s">
        <v>74</v>
      </c>
      <c r="D927" t="s">
        <v>74</v>
      </c>
      <c r="E927" t="s">
        <v>74</v>
      </c>
      <c r="F927" t="s">
        <v>14520</v>
      </c>
      <c r="G927" t="s">
        <v>74</v>
      </c>
      <c r="H927" t="s">
        <v>74</v>
      </c>
      <c r="I927" t="s">
        <v>14521</v>
      </c>
      <c r="J927" t="s">
        <v>14522</v>
      </c>
      <c r="K927" t="s">
        <v>74</v>
      </c>
      <c r="L927" t="s">
        <v>74</v>
      </c>
      <c r="M927" t="s">
        <v>78</v>
      </c>
      <c r="N927" t="s">
        <v>176</v>
      </c>
      <c r="O927" t="s">
        <v>14523</v>
      </c>
      <c r="P927">
        <v>2003</v>
      </c>
      <c r="Q927" t="s">
        <v>14524</v>
      </c>
      <c r="R927" t="s">
        <v>74</v>
      </c>
      <c r="S927" t="s">
        <v>74</v>
      </c>
      <c r="T927" t="s">
        <v>14525</v>
      </c>
      <c r="U927" t="s">
        <v>14526</v>
      </c>
      <c r="V927" t="s">
        <v>14527</v>
      </c>
      <c r="W927" t="s">
        <v>14528</v>
      </c>
      <c r="X927" t="s">
        <v>14529</v>
      </c>
      <c r="Y927" t="s">
        <v>14530</v>
      </c>
      <c r="Z927" t="s">
        <v>14531</v>
      </c>
      <c r="AA927" t="s">
        <v>14532</v>
      </c>
      <c r="AB927" t="s">
        <v>14533</v>
      </c>
      <c r="AC927" t="s">
        <v>74</v>
      </c>
      <c r="AD927" t="s">
        <v>74</v>
      </c>
      <c r="AE927" t="s">
        <v>74</v>
      </c>
      <c r="AF927" t="s">
        <v>74</v>
      </c>
      <c r="AG927">
        <v>73</v>
      </c>
      <c r="AH927">
        <v>82</v>
      </c>
      <c r="AI927">
        <v>87</v>
      </c>
      <c r="AJ927">
        <v>0</v>
      </c>
      <c r="AK927">
        <v>5</v>
      </c>
      <c r="AL927" t="s">
        <v>817</v>
      </c>
      <c r="AM927" t="s">
        <v>818</v>
      </c>
      <c r="AN927" t="s">
        <v>819</v>
      </c>
      <c r="AO927" t="s">
        <v>14534</v>
      </c>
      <c r="AP927" t="s">
        <v>74</v>
      </c>
      <c r="AQ927" t="s">
        <v>74</v>
      </c>
      <c r="AR927" t="s">
        <v>14535</v>
      </c>
      <c r="AS927" t="s">
        <v>14536</v>
      </c>
      <c r="AT927" t="s">
        <v>13673</v>
      </c>
      <c r="AU927">
        <v>2006</v>
      </c>
      <c r="AV927">
        <v>21</v>
      </c>
      <c r="AW927">
        <v>4</v>
      </c>
      <c r="AX927" t="s">
        <v>74</v>
      </c>
      <c r="AY927" t="s">
        <v>74</v>
      </c>
      <c r="AZ927" t="s">
        <v>74</v>
      </c>
      <c r="BA927" t="s">
        <v>74</v>
      </c>
      <c r="BB927">
        <v>423</v>
      </c>
      <c r="BC927">
        <v>436</v>
      </c>
      <c r="BD927" t="s">
        <v>74</v>
      </c>
      <c r="BE927" t="s">
        <v>14537</v>
      </c>
      <c r="BF927" t="str">
        <f>HYPERLINK("http://dx.doi.org/10.1016/j.jsames.2006.07.002","http://dx.doi.org/10.1016/j.jsames.2006.07.002")</f>
        <v>http://dx.doi.org/10.1016/j.jsames.2006.07.002</v>
      </c>
      <c r="BG927" t="s">
        <v>74</v>
      </c>
      <c r="BH927" t="s">
        <v>74</v>
      </c>
      <c r="BI927">
        <v>14</v>
      </c>
      <c r="BJ927" t="s">
        <v>685</v>
      </c>
      <c r="BK927" t="s">
        <v>197</v>
      </c>
      <c r="BL927" t="s">
        <v>642</v>
      </c>
      <c r="BM927" t="s">
        <v>14538</v>
      </c>
      <c r="BN927" t="s">
        <v>74</v>
      </c>
      <c r="BO927" t="s">
        <v>74</v>
      </c>
      <c r="BP927" t="s">
        <v>74</v>
      </c>
      <c r="BQ927" t="s">
        <v>74</v>
      </c>
      <c r="BR927" t="s">
        <v>100</v>
      </c>
      <c r="BS927" t="s">
        <v>14539</v>
      </c>
      <c r="BT927" t="str">
        <f>HYPERLINK("https%3A%2F%2Fwww.webofscience.com%2Fwos%2Fwoscc%2Ffull-record%2FWOS:000242327200008","View Full Record in Web of Science")</f>
        <v>View Full Record in Web of Science</v>
      </c>
    </row>
    <row r="928" spans="1:72" x14ac:dyDescent="0.15">
      <c r="A928" t="s">
        <v>72</v>
      </c>
      <c r="B928" t="s">
        <v>14540</v>
      </c>
      <c r="C928" t="s">
        <v>74</v>
      </c>
      <c r="D928" t="s">
        <v>74</v>
      </c>
      <c r="E928" t="s">
        <v>74</v>
      </c>
      <c r="F928" t="s">
        <v>14541</v>
      </c>
      <c r="G928" t="s">
        <v>74</v>
      </c>
      <c r="H928" t="s">
        <v>74</v>
      </c>
      <c r="I928" t="s">
        <v>14542</v>
      </c>
      <c r="J928" t="s">
        <v>14543</v>
      </c>
      <c r="K928" t="s">
        <v>74</v>
      </c>
      <c r="L928" t="s">
        <v>74</v>
      </c>
      <c r="M928" t="s">
        <v>78</v>
      </c>
      <c r="N928" t="s">
        <v>79</v>
      </c>
      <c r="O928" t="s">
        <v>74</v>
      </c>
      <c r="P928" t="s">
        <v>74</v>
      </c>
      <c r="Q928" t="s">
        <v>74</v>
      </c>
      <c r="R928" t="s">
        <v>74</v>
      </c>
      <c r="S928" t="s">
        <v>74</v>
      </c>
      <c r="T928" t="s">
        <v>74</v>
      </c>
      <c r="U928" t="s">
        <v>74</v>
      </c>
      <c r="V928" t="s">
        <v>14544</v>
      </c>
      <c r="W928" t="s">
        <v>14545</v>
      </c>
      <c r="X928" t="s">
        <v>14546</v>
      </c>
      <c r="Y928" t="s">
        <v>14547</v>
      </c>
      <c r="Z928" t="s">
        <v>14548</v>
      </c>
      <c r="AA928" t="s">
        <v>74</v>
      </c>
      <c r="AB928" t="s">
        <v>74</v>
      </c>
      <c r="AC928" t="s">
        <v>74</v>
      </c>
      <c r="AD928" t="s">
        <v>74</v>
      </c>
      <c r="AE928" t="s">
        <v>74</v>
      </c>
      <c r="AF928" t="s">
        <v>74</v>
      </c>
      <c r="AG928">
        <v>5</v>
      </c>
      <c r="AH928">
        <v>10</v>
      </c>
      <c r="AI928">
        <v>14</v>
      </c>
      <c r="AJ928">
        <v>1</v>
      </c>
      <c r="AK928">
        <v>6</v>
      </c>
      <c r="AL928" t="s">
        <v>14549</v>
      </c>
      <c r="AM928" t="s">
        <v>705</v>
      </c>
      <c r="AN928" t="s">
        <v>14550</v>
      </c>
      <c r="AO928" t="s">
        <v>14551</v>
      </c>
      <c r="AP928" t="s">
        <v>14552</v>
      </c>
      <c r="AQ928" t="s">
        <v>74</v>
      </c>
      <c r="AR928" t="s">
        <v>14553</v>
      </c>
      <c r="AS928" t="s">
        <v>14554</v>
      </c>
      <c r="AT928" t="s">
        <v>13673</v>
      </c>
      <c r="AU928">
        <v>2006</v>
      </c>
      <c r="AV928">
        <v>120</v>
      </c>
      <c r="AW928">
        <v>3</v>
      </c>
      <c r="AX928" t="s">
        <v>74</v>
      </c>
      <c r="AY928" t="s">
        <v>74</v>
      </c>
      <c r="AZ928" t="s">
        <v>74</v>
      </c>
      <c r="BA928" t="s">
        <v>74</v>
      </c>
      <c r="BB928" t="s">
        <v>14555</v>
      </c>
      <c r="BC928" t="s">
        <v>14556</v>
      </c>
      <c r="BD928" t="s">
        <v>74</v>
      </c>
      <c r="BE928" t="s">
        <v>14557</v>
      </c>
      <c r="BF928" t="str">
        <f>HYPERLINK("http://dx.doi.org/10.1121/1.2234517","http://dx.doi.org/10.1121/1.2234517")</f>
        <v>http://dx.doi.org/10.1121/1.2234517</v>
      </c>
      <c r="BG928" t="s">
        <v>74</v>
      </c>
      <c r="BH928" t="s">
        <v>74</v>
      </c>
      <c r="BI928">
        <v>6</v>
      </c>
      <c r="BJ928" t="s">
        <v>14558</v>
      </c>
      <c r="BK928" t="s">
        <v>97</v>
      </c>
      <c r="BL928" t="s">
        <v>14558</v>
      </c>
      <c r="BM928" t="s">
        <v>14559</v>
      </c>
      <c r="BN928" t="s">
        <v>74</v>
      </c>
      <c r="BO928" t="s">
        <v>124</v>
      </c>
      <c r="BP928" t="s">
        <v>74</v>
      </c>
      <c r="BQ928" t="s">
        <v>74</v>
      </c>
      <c r="BR928" t="s">
        <v>100</v>
      </c>
      <c r="BS928" t="s">
        <v>14560</v>
      </c>
      <c r="BT928" t="str">
        <f>HYPERLINK("https%3A%2F%2Fwww.webofscience.com%2Fwos%2Fwoscc%2Ffull-record%2FWOS:000240474100060","View Full Record in Web of Science")</f>
        <v>View Full Record in Web of Science</v>
      </c>
    </row>
    <row r="929" spans="1:72" x14ac:dyDescent="0.15">
      <c r="A929" t="s">
        <v>72</v>
      </c>
      <c r="B929" t="s">
        <v>14561</v>
      </c>
      <c r="C929" t="s">
        <v>74</v>
      </c>
      <c r="D929" t="s">
        <v>74</v>
      </c>
      <c r="E929" t="s">
        <v>74</v>
      </c>
      <c r="F929" t="s">
        <v>14562</v>
      </c>
      <c r="G929" t="s">
        <v>74</v>
      </c>
      <c r="H929" t="s">
        <v>74</v>
      </c>
      <c r="I929" t="s">
        <v>14563</v>
      </c>
      <c r="J929" t="s">
        <v>11084</v>
      </c>
      <c r="K929" t="s">
        <v>74</v>
      </c>
      <c r="L929" t="s">
        <v>74</v>
      </c>
      <c r="M929" t="s">
        <v>78</v>
      </c>
      <c r="N929" t="s">
        <v>4036</v>
      </c>
      <c r="O929" t="s">
        <v>74</v>
      </c>
      <c r="P929" t="s">
        <v>74</v>
      </c>
      <c r="Q929" t="s">
        <v>74</v>
      </c>
      <c r="R929" t="s">
        <v>74</v>
      </c>
      <c r="S929" t="s">
        <v>74</v>
      </c>
      <c r="T929" t="s">
        <v>74</v>
      </c>
      <c r="U929" t="s">
        <v>74</v>
      </c>
      <c r="V929" t="s">
        <v>74</v>
      </c>
      <c r="W929" t="s">
        <v>14564</v>
      </c>
      <c r="X929" t="s">
        <v>74</v>
      </c>
      <c r="Y929" t="s">
        <v>14565</v>
      </c>
      <c r="Z929" t="s">
        <v>74</v>
      </c>
      <c r="AA929" t="s">
        <v>74</v>
      </c>
      <c r="AB929" t="s">
        <v>74</v>
      </c>
      <c r="AC929" t="s">
        <v>74</v>
      </c>
      <c r="AD929" t="s">
        <v>74</v>
      </c>
      <c r="AE929" t="s">
        <v>74</v>
      </c>
      <c r="AF929" t="s">
        <v>74</v>
      </c>
      <c r="AG929">
        <v>1</v>
      </c>
      <c r="AH929">
        <v>0</v>
      </c>
      <c r="AI929">
        <v>0</v>
      </c>
      <c r="AJ929">
        <v>0</v>
      </c>
      <c r="AK929">
        <v>0</v>
      </c>
      <c r="AL929" t="s">
        <v>11088</v>
      </c>
      <c r="AM929" t="s">
        <v>678</v>
      </c>
      <c r="AN929" t="s">
        <v>11089</v>
      </c>
      <c r="AO929" t="s">
        <v>11090</v>
      </c>
      <c r="AP929" t="s">
        <v>74</v>
      </c>
      <c r="AQ929" t="s">
        <v>74</v>
      </c>
      <c r="AR929" t="s">
        <v>11091</v>
      </c>
      <c r="AS929" t="s">
        <v>11092</v>
      </c>
      <c r="AT929" t="s">
        <v>13999</v>
      </c>
      <c r="AU929">
        <v>2006</v>
      </c>
      <c r="AV929">
        <v>131</v>
      </c>
      <c r="AW929">
        <v>14</v>
      </c>
      <c r="AX929" t="s">
        <v>74</v>
      </c>
      <c r="AY929" t="s">
        <v>74</v>
      </c>
      <c r="AZ929" t="s">
        <v>74</v>
      </c>
      <c r="BA929" t="s">
        <v>74</v>
      </c>
      <c r="BB929">
        <v>174</v>
      </c>
      <c r="BC929">
        <v>174</v>
      </c>
      <c r="BD929" t="s">
        <v>74</v>
      </c>
      <c r="BE929" t="s">
        <v>74</v>
      </c>
      <c r="BF929" t="s">
        <v>74</v>
      </c>
      <c r="BG929" t="s">
        <v>74</v>
      </c>
      <c r="BH929" t="s">
        <v>74</v>
      </c>
      <c r="BI929">
        <v>1</v>
      </c>
      <c r="BJ929" t="s">
        <v>11093</v>
      </c>
      <c r="BK929" t="s">
        <v>4048</v>
      </c>
      <c r="BL929" t="s">
        <v>11093</v>
      </c>
      <c r="BM929" t="s">
        <v>14566</v>
      </c>
      <c r="BN929" t="s">
        <v>74</v>
      </c>
      <c r="BO929" t="s">
        <v>74</v>
      </c>
      <c r="BP929" t="s">
        <v>74</v>
      </c>
      <c r="BQ929" t="s">
        <v>74</v>
      </c>
      <c r="BR929" t="s">
        <v>100</v>
      </c>
      <c r="BS929" t="s">
        <v>14567</v>
      </c>
      <c r="BT929" t="str">
        <f>HYPERLINK("https%3A%2F%2Fwww.webofscience.com%2Fwos%2Fwoscc%2Ffull-record%2FWOS:000240041400273","View Full Record in Web of Science")</f>
        <v>View Full Record in Web of Science</v>
      </c>
    </row>
    <row r="930" spans="1:72" x14ac:dyDescent="0.15">
      <c r="A930" t="s">
        <v>72</v>
      </c>
      <c r="B930" t="s">
        <v>14568</v>
      </c>
      <c r="C930" t="s">
        <v>74</v>
      </c>
      <c r="D930" t="s">
        <v>74</v>
      </c>
      <c r="E930" t="s">
        <v>74</v>
      </c>
      <c r="F930" t="s">
        <v>14569</v>
      </c>
      <c r="G930" t="s">
        <v>74</v>
      </c>
      <c r="H930" t="s">
        <v>74</v>
      </c>
      <c r="I930" t="s">
        <v>14570</v>
      </c>
      <c r="J930" t="s">
        <v>4189</v>
      </c>
      <c r="K930" t="s">
        <v>74</v>
      </c>
      <c r="L930" t="s">
        <v>74</v>
      </c>
      <c r="M930" t="s">
        <v>78</v>
      </c>
      <c r="N930" t="s">
        <v>79</v>
      </c>
      <c r="O930" t="s">
        <v>74</v>
      </c>
      <c r="P930" t="s">
        <v>74</v>
      </c>
      <c r="Q930" t="s">
        <v>74</v>
      </c>
      <c r="R930" t="s">
        <v>74</v>
      </c>
      <c r="S930" t="s">
        <v>74</v>
      </c>
      <c r="T930" t="s">
        <v>74</v>
      </c>
      <c r="U930" t="s">
        <v>14571</v>
      </c>
      <c r="V930" t="s">
        <v>14572</v>
      </c>
      <c r="W930" t="s">
        <v>14573</v>
      </c>
      <c r="X930" t="s">
        <v>14574</v>
      </c>
      <c r="Y930" t="s">
        <v>14575</v>
      </c>
      <c r="Z930" t="s">
        <v>14576</v>
      </c>
      <c r="AA930" t="s">
        <v>14577</v>
      </c>
      <c r="AB930" t="s">
        <v>74</v>
      </c>
      <c r="AC930" t="s">
        <v>74</v>
      </c>
      <c r="AD930" t="s">
        <v>74</v>
      </c>
      <c r="AE930" t="s">
        <v>74</v>
      </c>
      <c r="AF930" t="s">
        <v>74</v>
      </c>
      <c r="AG930">
        <v>40</v>
      </c>
      <c r="AH930">
        <v>9</v>
      </c>
      <c r="AI930">
        <v>9</v>
      </c>
      <c r="AJ930">
        <v>0</v>
      </c>
      <c r="AK930">
        <v>13</v>
      </c>
      <c r="AL930" t="s">
        <v>159</v>
      </c>
      <c r="AM930" t="s">
        <v>160</v>
      </c>
      <c r="AN930" t="s">
        <v>161</v>
      </c>
      <c r="AO930" t="s">
        <v>4201</v>
      </c>
      <c r="AP930" t="s">
        <v>11108</v>
      </c>
      <c r="AQ930" t="s">
        <v>74</v>
      </c>
      <c r="AR930" t="s">
        <v>4202</v>
      </c>
      <c r="AS930" t="s">
        <v>4203</v>
      </c>
      <c r="AT930" t="s">
        <v>13673</v>
      </c>
      <c r="AU930">
        <v>2006</v>
      </c>
      <c r="AV930">
        <v>51</v>
      </c>
      <c r="AW930">
        <v>5</v>
      </c>
      <c r="AX930" t="s">
        <v>74</v>
      </c>
      <c r="AY930" t="s">
        <v>74</v>
      </c>
      <c r="AZ930" t="s">
        <v>74</v>
      </c>
      <c r="BA930" t="s">
        <v>74</v>
      </c>
      <c r="BB930">
        <v>2398</v>
      </c>
      <c r="BC930">
        <v>2408</v>
      </c>
      <c r="BD930" t="s">
        <v>74</v>
      </c>
      <c r="BE930" t="s">
        <v>14578</v>
      </c>
      <c r="BF930" t="str">
        <f>HYPERLINK("http://dx.doi.org/10.4319/lo.2006.51.5.2398","http://dx.doi.org/10.4319/lo.2006.51.5.2398")</f>
        <v>http://dx.doi.org/10.4319/lo.2006.51.5.2398</v>
      </c>
      <c r="BG930" t="s">
        <v>74</v>
      </c>
      <c r="BH930" t="s">
        <v>74</v>
      </c>
      <c r="BI930">
        <v>11</v>
      </c>
      <c r="BJ930" t="s">
        <v>4205</v>
      </c>
      <c r="BK930" t="s">
        <v>97</v>
      </c>
      <c r="BL930" t="s">
        <v>4206</v>
      </c>
      <c r="BM930" t="s">
        <v>14579</v>
      </c>
      <c r="BN930" t="s">
        <v>74</v>
      </c>
      <c r="BO930" t="s">
        <v>1384</v>
      </c>
      <c r="BP930" t="s">
        <v>74</v>
      </c>
      <c r="BQ930" t="s">
        <v>74</v>
      </c>
      <c r="BR930" t="s">
        <v>100</v>
      </c>
      <c r="BS930" t="s">
        <v>14580</v>
      </c>
      <c r="BT930" t="str">
        <f>HYPERLINK("https%3A%2F%2Fwww.webofscience.com%2Fwos%2Fwoscc%2Ffull-record%2FWOS:000240673800042","View Full Record in Web of Science")</f>
        <v>View Full Record in Web of Science</v>
      </c>
    </row>
    <row r="931" spans="1:72" x14ac:dyDescent="0.15">
      <c r="A931" t="s">
        <v>72</v>
      </c>
      <c r="B931" t="s">
        <v>14581</v>
      </c>
      <c r="C931" t="s">
        <v>74</v>
      </c>
      <c r="D931" t="s">
        <v>74</v>
      </c>
      <c r="E931" t="s">
        <v>74</v>
      </c>
      <c r="F931" t="s">
        <v>14582</v>
      </c>
      <c r="G931" t="s">
        <v>74</v>
      </c>
      <c r="H931" t="s">
        <v>74</v>
      </c>
      <c r="I931" t="s">
        <v>14583</v>
      </c>
      <c r="J931" t="s">
        <v>4189</v>
      </c>
      <c r="K931" t="s">
        <v>74</v>
      </c>
      <c r="L931" t="s">
        <v>74</v>
      </c>
      <c r="M931" t="s">
        <v>78</v>
      </c>
      <c r="N931" t="s">
        <v>79</v>
      </c>
      <c r="O931" t="s">
        <v>74</v>
      </c>
      <c r="P931" t="s">
        <v>74</v>
      </c>
      <c r="Q931" t="s">
        <v>74</v>
      </c>
      <c r="R931" t="s">
        <v>74</v>
      </c>
      <c r="S931" t="s">
        <v>74</v>
      </c>
      <c r="T931" t="s">
        <v>74</v>
      </c>
      <c r="U931" t="s">
        <v>14584</v>
      </c>
      <c r="V931" t="s">
        <v>14585</v>
      </c>
      <c r="W931" t="s">
        <v>14586</v>
      </c>
      <c r="X931" t="s">
        <v>14587</v>
      </c>
      <c r="Y931" t="s">
        <v>14588</v>
      </c>
      <c r="Z931" t="s">
        <v>14589</v>
      </c>
      <c r="AA931" t="s">
        <v>14590</v>
      </c>
      <c r="AB931" t="s">
        <v>14591</v>
      </c>
      <c r="AC931" t="s">
        <v>74</v>
      </c>
      <c r="AD931" t="s">
        <v>74</v>
      </c>
      <c r="AE931" t="s">
        <v>74</v>
      </c>
      <c r="AF931" t="s">
        <v>74</v>
      </c>
      <c r="AG931">
        <v>70</v>
      </c>
      <c r="AH931">
        <v>120</v>
      </c>
      <c r="AI931">
        <v>138</v>
      </c>
      <c r="AJ931">
        <v>1</v>
      </c>
      <c r="AK931">
        <v>54</v>
      </c>
      <c r="AL931" t="s">
        <v>159</v>
      </c>
      <c r="AM931" t="s">
        <v>160</v>
      </c>
      <c r="AN931" t="s">
        <v>161</v>
      </c>
      <c r="AO931" t="s">
        <v>4201</v>
      </c>
      <c r="AP931" t="s">
        <v>11108</v>
      </c>
      <c r="AQ931" t="s">
        <v>74</v>
      </c>
      <c r="AR931" t="s">
        <v>4202</v>
      </c>
      <c r="AS931" t="s">
        <v>4203</v>
      </c>
      <c r="AT931" t="s">
        <v>13673</v>
      </c>
      <c r="AU931">
        <v>2006</v>
      </c>
      <c r="AV931">
        <v>51</v>
      </c>
      <c r="AW931">
        <v>5</v>
      </c>
      <c r="AX931" t="s">
        <v>74</v>
      </c>
      <c r="AY931" t="s">
        <v>74</v>
      </c>
      <c r="AZ931" t="s">
        <v>74</v>
      </c>
      <c r="BA931" t="s">
        <v>74</v>
      </c>
      <c r="BB931">
        <v>2409</v>
      </c>
      <c r="BC931">
        <v>2427</v>
      </c>
      <c r="BD931" t="s">
        <v>74</v>
      </c>
      <c r="BE931" t="s">
        <v>14592</v>
      </c>
      <c r="BF931" t="str">
        <f>HYPERLINK("http://dx.doi.org/10.4319/lo.2006.51.5.2409","http://dx.doi.org/10.4319/lo.2006.51.5.2409")</f>
        <v>http://dx.doi.org/10.4319/lo.2006.51.5.2409</v>
      </c>
      <c r="BG931" t="s">
        <v>74</v>
      </c>
      <c r="BH931" t="s">
        <v>74</v>
      </c>
      <c r="BI931">
        <v>19</v>
      </c>
      <c r="BJ931" t="s">
        <v>4205</v>
      </c>
      <c r="BK931" t="s">
        <v>97</v>
      </c>
      <c r="BL931" t="s">
        <v>4206</v>
      </c>
      <c r="BM931" t="s">
        <v>14579</v>
      </c>
      <c r="BN931" t="s">
        <v>74</v>
      </c>
      <c r="BO931" t="s">
        <v>74</v>
      </c>
      <c r="BP931" t="s">
        <v>74</v>
      </c>
      <c r="BQ931" t="s">
        <v>74</v>
      </c>
      <c r="BR931" t="s">
        <v>100</v>
      </c>
      <c r="BS931" t="s">
        <v>14593</v>
      </c>
      <c r="BT931" t="str">
        <f>HYPERLINK("https%3A%2F%2Fwww.webofscience.com%2Fwos%2Fwoscc%2Ffull-record%2FWOS:000240673800043","View Full Record in Web of Science")</f>
        <v>View Full Record in Web of Science</v>
      </c>
    </row>
    <row r="932" spans="1:72" x14ac:dyDescent="0.15">
      <c r="A932" t="s">
        <v>72</v>
      </c>
      <c r="B932" t="s">
        <v>14594</v>
      </c>
      <c r="C932" t="s">
        <v>74</v>
      </c>
      <c r="D932" t="s">
        <v>74</v>
      </c>
      <c r="E932" t="s">
        <v>74</v>
      </c>
      <c r="F932" t="s">
        <v>14595</v>
      </c>
      <c r="G932" t="s">
        <v>74</v>
      </c>
      <c r="H932" t="s">
        <v>74</v>
      </c>
      <c r="I932" t="s">
        <v>14596</v>
      </c>
      <c r="J932" t="s">
        <v>14597</v>
      </c>
      <c r="K932" t="s">
        <v>74</v>
      </c>
      <c r="L932" t="s">
        <v>74</v>
      </c>
      <c r="M932" t="s">
        <v>78</v>
      </c>
      <c r="N932" t="s">
        <v>52</v>
      </c>
      <c r="O932" t="s">
        <v>74</v>
      </c>
      <c r="P932" t="s">
        <v>74</v>
      </c>
      <c r="Q932" t="s">
        <v>74</v>
      </c>
      <c r="R932" t="s">
        <v>74</v>
      </c>
      <c r="S932" t="s">
        <v>74</v>
      </c>
      <c r="T932" t="s">
        <v>74</v>
      </c>
      <c r="U932" t="s">
        <v>74</v>
      </c>
      <c r="V932" t="s">
        <v>74</v>
      </c>
      <c r="W932" t="s">
        <v>14598</v>
      </c>
      <c r="X932" t="s">
        <v>14599</v>
      </c>
      <c r="Y932" t="s">
        <v>74</v>
      </c>
      <c r="Z932" t="s">
        <v>74</v>
      </c>
      <c r="AA932" t="s">
        <v>14600</v>
      </c>
      <c r="AB932" t="s">
        <v>14601</v>
      </c>
      <c r="AC932" t="s">
        <v>74</v>
      </c>
      <c r="AD932" t="s">
        <v>74</v>
      </c>
      <c r="AE932" t="s">
        <v>74</v>
      </c>
      <c r="AF932" t="s">
        <v>74</v>
      </c>
      <c r="AG932">
        <v>0</v>
      </c>
      <c r="AH932">
        <v>1</v>
      </c>
      <c r="AI932">
        <v>1</v>
      </c>
      <c r="AJ932">
        <v>0</v>
      </c>
      <c r="AK932">
        <v>3</v>
      </c>
      <c r="AL932" t="s">
        <v>2749</v>
      </c>
      <c r="AM932" t="s">
        <v>2398</v>
      </c>
      <c r="AN932" t="s">
        <v>2399</v>
      </c>
      <c r="AO932" t="s">
        <v>14602</v>
      </c>
      <c r="AP932" t="s">
        <v>74</v>
      </c>
      <c r="AQ932" t="s">
        <v>74</v>
      </c>
      <c r="AR932" t="s">
        <v>14597</v>
      </c>
      <c r="AS932" t="s">
        <v>14603</v>
      </c>
      <c r="AT932" t="s">
        <v>14061</v>
      </c>
      <c r="AU932">
        <v>2006</v>
      </c>
      <c r="AV932">
        <v>21</v>
      </c>
      <c r="AW932">
        <v>5</v>
      </c>
      <c r="AX932" t="s">
        <v>74</v>
      </c>
      <c r="AY932" t="s">
        <v>74</v>
      </c>
      <c r="AZ932" t="s">
        <v>74</v>
      </c>
      <c r="BA932" t="s">
        <v>74</v>
      </c>
      <c r="BB932">
        <v>294</v>
      </c>
      <c r="BC932">
        <v>294</v>
      </c>
      <c r="BD932" t="s">
        <v>74</v>
      </c>
      <c r="BE932" t="s">
        <v>74</v>
      </c>
      <c r="BF932" t="s">
        <v>74</v>
      </c>
      <c r="BG932" t="s">
        <v>74</v>
      </c>
      <c r="BH932" t="s">
        <v>74</v>
      </c>
      <c r="BI932">
        <v>1</v>
      </c>
      <c r="BJ932" t="s">
        <v>844</v>
      </c>
      <c r="BK932" t="s">
        <v>97</v>
      </c>
      <c r="BL932" t="s">
        <v>335</v>
      </c>
      <c r="BM932" t="s">
        <v>14604</v>
      </c>
      <c r="BN932" t="s">
        <v>74</v>
      </c>
      <c r="BO932" t="s">
        <v>74</v>
      </c>
      <c r="BP932" t="s">
        <v>74</v>
      </c>
      <c r="BQ932" t="s">
        <v>74</v>
      </c>
      <c r="BR932" t="s">
        <v>100</v>
      </c>
      <c r="BS932" t="s">
        <v>14605</v>
      </c>
      <c r="BT932" t="str">
        <f>HYPERLINK("https%3A%2F%2Fwww.webofscience.com%2Fwos%2Fwoscc%2Ffull-record%2FWOS:000242035200091","View Full Record in Web of Science")</f>
        <v>View Full Record in Web of Science</v>
      </c>
    </row>
    <row r="933" spans="1:72" x14ac:dyDescent="0.15">
      <c r="A933" t="s">
        <v>72</v>
      </c>
      <c r="B933" t="s">
        <v>14606</v>
      </c>
      <c r="C933" t="s">
        <v>74</v>
      </c>
      <c r="D933" t="s">
        <v>74</v>
      </c>
      <c r="E933" t="s">
        <v>74</v>
      </c>
      <c r="F933" t="s">
        <v>14607</v>
      </c>
      <c r="G933" t="s">
        <v>74</v>
      </c>
      <c r="H933" t="s">
        <v>74</v>
      </c>
      <c r="I933" t="s">
        <v>14608</v>
      </c>
      <c r="J933" t="s">
        <v>4328</v>
      </c>
      <c r="K933" t="s">
        <v>74</v>
      </c>
      <c r="L933" t="s">
        <v>74</v>
      </c>
      <c r="M933" t="s">
        <v>78</v>
      </c>
      <c r="N933" t="s">
        <v>79</v>
      </c>
      <c r="O933" t="s">
        <v>74</v>
      </c>
      <c r="P933" t="s">
        <v>74</v>
      </c>
      <c r="Q933" t="s">
        <v>74</v>
      </c>
      <c r="R933" t="s">
        <v>74</v>
      </c>
      <c r="S933" t="s">
        <v>74</v>
      </c>
      <c r="T933" t="s">
        <v>74</v>
      </c>
      <c r="U933" t="s">
        <v>14609</v>
      </c>
      <c r="V933" t="s">
        <v>14610</v>
      </c>
      <c r="W933" t="s">
        <v>14611</v>
      </c>
      <c r="X933" t="s">
        <v>14198</v>
      </c>
      <c r="Y933" t="s">
        <v>14612</v>
      </c>
      <c r="Z933" t="s">
        <v>14613</v>
      </c>
      <c r="AA933" t="s">
        <v>74</v>
      </c>
      <c r="AB933" t="s">
        <v>74</v>
      </c>
      <c r="AC933" t="s">
        <v>74</v>
      </c>
      <c r="AD933" t="s">
        <v>74</v>
      </c>
      <c r="AE933" t="s">
        <v>74</v>
      </c>
      <c r="AF933" t="s">
        <v>74</v>
      </c>
      <c r="AG933">
        <v>48</v>
      </c>
      <c r="AH933">
        <v>9</v>
      </c>
      <c r="AI933">
        <v>13</v>
      </c>
      <c r="AJ933">
        <v>0</v>
      </c>
      <c r="AK933">
        <v>13</v>
      </c>
      <c r="AL933" t="s">
        <v>613</v>
      </c>
      <c r="AM933" t="s">
        <v>678</v>
      </c>
      <c r="AN933" t="s">
        <v>4336</v>
      </c>
      <c r="AO933" t="s">
        <v>4337</v>
      </c>
      <c r="AP933" t="s">
        <v>74</v>
      </c>
      <c r="AQ933" t="s">
        <v>74</v>
      </c>
      <c r="AR933" t="s">
        <v>4338</v>
      </c>
      <c r="AS933" t="s">
        <v>4339</v>
      </c>
      <c r="AT933" t="s">
        <v>13673</v>
      </c>
      <c r="AU933">
        <v>2006</v>
      </c>
      <c r="AV933">
        <v>149</v>
      </c>
      <c r="AW933">
        <v>6</v>
      </c>
      <c r="AX933" t="s">
        <v>74</v>
      </c>
      <c r="AY933" t="s">
        <v>74</v>
      </c>
      <c r="AZ933" t="s">
        <v>74</v>
      </c>
      <c r="BA933" t="s">
        <v>74</v>
      </c>
      <c r="BB933">
        <v>1397</v>
      </c>
      <c r="BC933">
        <v>1402</v>
      </c>
      <c r="BD933" t="s">
        <v>74</v>
      </c>
      <c r="BE933" t="s">
        <v>14614</v>
      </c>
      <c r="BF933" t="str">
        <f>HYPERLINK("http://dx.doi.org/10.1007/s00227-006-0310-8","http://dx.doi.org/10.1007/s00227-006-0310-8")</f>
        <v>http://dx.doi.org/10.1007/s00227-006-0310-8</v>
      </c>
      <c r="BG933" t="s">
        <v>74</v>
      </c>
      <c r="BH933" t="s">
        <v>74</v>
      </c>
      <c r="BI933">
        <v>6</v>
      </c>
      <c r="BJ933" t="s">
        <v>122</v>
      </c>
      <c r="BK933" t="s">
        <v>97</v>
      </c>
      <c r="BL933" t="s">
        <v>122</v>
      </c>
      <c r="BM933" t="s">
        <v>14615</v>
      </c>
      <c r="BN933" t="s">
        <v>74</v>
      </c>
      <c r="BO933" t="s">
        <v>74</v>
      </c>
      <c r="BP933" t="s">
        <v>74</v>
      </c>
      <c r="BQ933" t="s">
        <v>74</v>
      </c>
      <c r="BR933" t="s">
        <v>100</v>
      </c>
      <c r="BS933" t="s">
        <v>14616</v>
      </c>
      <c r="BT933" t="str">
        <f>HYPERLINK("https%3A%2F%2Fwww.webofscience.com%2Fwos%2Fwoscc%2Ffull-record%2FWOS:000241112500012","View Full Record in Web of Science")</f>
        <v>View Full Record in Web of Science</v>
      </c>
    </row>
    <row r="934" spans="1:72" x14ac:dyDescent="0.15">
      <c r="A934" t="s">
        <v>72</v>
      </c>
      <c r="B934" t="s">
        <v>14617</v>
      </c>
      <c r="C934" t="s">
        <v>74</v>
      </c>
      <c r="D934" t="s">
        <v>74</v>
      </c>
      <c r="E934" t="s">
        <v>74</v>
      </c>
      <c r="F934" t="s">
        <v>14618</v>
      </c>
      <c r="G934" t="s">
        <v>74</v>
      </c>
      <c r="H934" t="s">
        <v>74</v>
      </c>
      <c r="I934" t="s">
        <v>14619</v>
      </c>
      <c r="J934" t="s">
        <v>4328</v>
      </c>
      <c r="K934" t="s">
        <v>74</v>
      </c>
      <c r="L934" t="s">
        <v>74</v>
      </c>
      <c r="M934" t="s">
        <v>78</v>
      </c>
      <c r="N934" t="s">
        <v>79</v>
      </c>
      <c r="O934" t="s">
        <v>74</v>
      </c>
      <c r="P934" t="s">
        <v>74</v>
      </c>
      <c r="Q934" t="s">
        <v>74</v>
      </c>
      <c r="R934" t="s">
        <v>74</v>
      </c>
      <c r="S934" t="s">
        <v>74</v>
      </c>
      <c r="T934" t="s">
        <v>74</v>
      </c>
      <c r="U934" t="s">
        <v>14620</v>
      </c>
      <c r="V934" t="s">
        <v>14621</v>
      </c>
      <c r="W934" t="s">
        <v>14622</v>
      </c>
      <c r="X934" t="s">
        <v>14623</v>
      </c>
      <c r="Y934" t="s">
        <v>14624</v>
      </c>
      <c r="Z934" t="s">
        <v>14625</v>
      </c>
      <c r="AA934" t="s">
        <v>74</v>
      </c>
      <c r="AB934" t="s">
        <v>14626</v>
      </c>
      <c r="AC934" t="s">
        <v>4321</v>
      </c>
      <c r="AD934" t="s">
        <v>158</v>
      </c>
      <c r="AE934" t="s">
        <v>74</v>
      </c>
      <c r="AF934" t="s">
        <v>74</v>
      </c>
      <c r="AG934">
        <v>37</v>
      </c>
      <c r="AH934">
        <v>13</v>
      </c>
      <c r="AI934">
        <v>13</v>
      </c>
      <c r="AJ934">
        <v>0</v>
      </c>
      <c r="AK934">
        <v>1</v>
      </c>
      <c r="AL934" t="s">
        <v>4354</v>
      </c>
      <c r="AM934" t="s">
        <v>4355</v>
      </c>
      <c r="AN934" t="s">
        <v>4356</v>
      </c>
      <c r="AO934" t="s">
        <v>4337</v>
      </c>
      <c r="AP934" t="s">
        <v>4357</v>
      </c>
      <c r="AQ934" t="s">
        <v>74</v>
      </c>
      <c r="AR934" t="s">
        <v>4338</v>
      </c>
      <c r="AS934" t="s">
        <v>4339</v>
      </c>
      <c r="AT934" t="s">
        <v>13673</v>
      </c>
      <c r="AU934">
        <v>2006</v>
      </c>
      <c r="AV934">
        <v>149</v>
      </c>
      <c r="AW934">
        <v>6</v>
      </c>
      <c r="AX934" t="s">
        <v>74</v>
      </c>
      <c r="AY934" t="s">
        <v>74</v>
      </c>
      <c r="AZ934" t="s">
        <v>74</v>
      </c>
      <c r="BA934" t="s">
        <v>74</v>
      </c>
      <c r="BB934">
        <v>1443</v>
      </c>
      <c r="BC934">
        <v>1452</v>
      </c>
      <c r="BD934" t="s">
        <v>74</v>
      </c>
      <c r="BE934" t="s">
        <v>14627</v>
      </c>
      <c r="BF934" t="str">
        <f>HYPERLINK("http://dx.doi.org/10.1007/s00227-006-0317-1","http://dx.doi.org/10.1007/s00227-006-0317-1")</f>
        <v>http://dx.doi.org/10.1007/s00227-006-0317-1</v>
      </c>
      <c r="BG934" t="s">
        <v>74</v>
      </c>
      <c r="BH934" t="s">
        <v>74</v>
      </c>
      <c r="BI934">
        <v>10</v>
      </c>
      <c r="BJ934" t="s">
        <v>122</v>
      </c>
      <c r="BK934" t="s">
        <v>97</v>
      </c>
      <c r="BL934" t="s">
        <v>122</v>
      </c>
      <c r="BM934" t="s">
        <v>14615</v>
      </c>
      <c r="BN934" t="s">
        <v>74</v>
      </c>
      <c r="BO934" t="s">
        <v>1384</v>
      </c>
      <c r="BP934" t="s">
        <v>74</v>
      </c>
      <c r="BQ934" t="s">
        <v>74</v>
      </c>
      <c r="BR934" t="s">
        <v>100</v>
      </c>
      <c r="BS934" t="s">
        <v>14628</v>
      </c>
      <c r="BT934" t="str">
        <f>HYPERLINK("https%3A%2F%2Fwww.webofscience.com%2Fwos%2Fwoscc%2Ffull-record%2FWOS:000241112500017","View Full Record in Web of Science")</f>
        <v>View Full Record in Web of Science</v>
      </c>
    </row>
    <row r="935" spans="1:72" x14ac:dyDescent="0.15">
      <c r="A935" t="s">
        <v>72</v>
      </c>
      <c r="B935" t="s">
        <v>14629</v>
      </c>
      <c r="C935" t="s">
        <v>74</v>
      </c>
      <c r="D935" t="s">
        <v>74</v>
      </c>
      <c r="E935" t="s">
        <v>74</v>
      </c>
      <c r="F935" t="s">
        <v>14630</v>
      </c>
      <c r="G935" t="s">
        <v>74</v>
      </c>
      <c r="H935" t="s">
        <v>74</v>
      </c>
      <c r="I935" t="s">
        <v>14631</v>
      </c>
      <c r="J935" t="s">
        <v>4328</v>
      </c>
      <c r="K935" t="s">
        <v>74</v>
      </c>
      <c r="L935" t="s">
        <v>74</v>
      </c>
      <c r="M935" t="s">
        <v>78</v>
      </c>
      <c r="N935" t="s">
        <v>79</v>
      </c>
      <c r="O935" t="s">
        <v>74</v>
      </c>
      <c r="P935" t="s">
        <v>74</v>
      </c>
      <c r="Q935" t="s">
        <v>74</v>
      </c>
      <c r="R935" t="s">
        <v>74</v>
      </c>
      <c r="S935" t="s">
        <v>74</v>
      </c>
      <c r="T935" t="s">
        <v>74</v>
      </c>
      <c r="U935" t="s">
        <v>14632</v>
      </c>
      <c r="V935" t="s">
        <v>14633</v>
      </c>
      <c r="W935" t="s">
        <v>14634</v>
      </c>
      <c r="X935" t="s">
        <v>14635</v>
      </c>
      <c r="Y935" t="s">
        <v>14636</v>
      </c>
      <c r="Z935" t="s">
        <v>14637</v>
      </c>
      <c r="AA935" t="s">
        <v>74</v>
      </c>
      <c r="AB935" t="s">
        <v>14638</v>
      </c>
      <c r="AC935" t="s">
        <v>1538</v>
      </c>
      <c r="AD935" t="s">
        <v>1254</v>
      </c>
      <c r="AE935" t="s">
        <v>74</v>
      </c>
      <c r="AF935" t="s">
        <v>74</v>
      </c>
      <c r="AG935">
        <v>44</v>
      </c>
      <c r="AH935">
        <v>22</v>
      </c>
      <c r="AI935">
        <v>26</v>
      </c>
      <c r="AJ935">
        <v>1</v>
      </c>
      <c r="AK935">
        <v>15</v>
      </c>
      <c r="AL935" t="s">
        <v>4354</v>
      </c>
      <c r="AM935" t="s">
        <v>4355</v>
      </c>
      <c r="AN935" t="s">
        <v>4356</v>
      </c>
      <c r="AO935" t="s">
        <v>4337</v>
      </c>
      <c r="AP935" t="s">
        <v>4357</v>
      </c>
      <c r="AQ935" t="s">
        <v>74</v>
      </c>
      <c r="AR935" t="s">
        <v>4338</v>
      </c>
      <c r="AS935" t="s">
        <v>4339</v>
      </c>
      <c r="AT935" t="s">
        <v>13673</v>
      </c>
      <c r="AU935">
        <v>2006</v>
      </c>
      <c r="AV935">
        <v>149</v>
      </c>
      <c r="AW935">
        <v>6</v>
      </c>
      <c r="AX935" t="s">
        <v>74</v>
      </c>
      <c r="AY935" t="s">
        <v>74</v>
      </c>
      <c r="AZ935" t="s">
        <v>74</v>
      </c>
      <c r="BA935" t="s">
        <v>74</v>
      </c>
      <c r="BB935">
        <v>1577</v>
      </c>
      <c r="BC935">
        <v>1583</v>
      </c>
      <c r="BD935" t="s">
        <v>74</v>
      </c>
      <c r="BE935" t="s">
        <v>14639</v>
      </c>
      <c r="BF935" t="str">
        <f>HYPERLINK("http://dx.doi.org/10.1007/s00227-006-0311-7","http://dx.doi.org/10.1007/s00227-006-0311-7")</f>
        <v>http://dx.doi.org/10.1007/s00227-006-0311-7</v>
      </c>
      <c r="BG935" t="s">
        <v>74</v>
      </c>
      <c r="BH935" t="s">
        <v>74</v>
      </c>
      <c r="BI935">
        <v>7</v>
      </c>
      <c r="BJ935" t="s">
        <v>122</v>
      </c>
      <c r="BK935" t="s">
        <v>97</v>
      </c>
      <c r="BL935" t="s">
        <v>122</v>
      </c>
      <c r="BM935" t="s">
        <v>14615</v>
      </c>
      <c r="BN935" t="s">
        <v>74</v>
      </c>
      <c r="BO935" t="s">
        <v>74</v>
      </c>
      <c r="BP935" t="s">
        <v>74</v>
      </c>
      <c r="BQ935" t="s">
        <v>74</v>
      </c>
      <c r="BR935" t="s">
        <v>100</v>
      </c>
      <c r="BS935" t="s">
        <v>14640</v>
      </c>
      <c r="BT935" t="str">
        <f>HYPERLINK("https%3A%2F%2Fwww.webofscience.com%2Fwos%2Fwoscc%2Ffull-record%2FWOS:000241112500028","View Full Record in Web of Science")</f>
        <v>View Full Record in Web of Science</v>
      </c>
    </row>
    <row r="936" spans="1:72" x14ac:dyDescent="0.15">
      <c r="A936" t="s">
        <v>72</v>
      </c>
      <c r="B936" t="s">
        <v>14641</v>
      </c>
      <c r="C936" t="s">
        <v>74</v>
      </c>
      <c r="D936" t="s">
        <v>74</v>
      </c>
      <c r="E936" t="s">
        <v>74</v>
      </c>
      <c r="F936" t="s">
        <v>14642</v>
      </c>
      <c r="G936" t="s">
        <v>74</v>
      </c>
      <c r="H936" t="s">
        <v>74</v>
      </c>
      <c r="I936" t="s">
        <v>14643</v>
      </c>
      <c r="J936" t="s">
        <v>9131</v>
      </c>
      <c r="K936" t="s">
        <v>74</v>
      </c>
      <c r="L936" t="s">
        <v>74</v>
      </c>
      <c r="M936" t="s">
        <v>78</v>
      </c>
      <c r="N936" t="s">
        <v>79</v>
      </c>
      <c r="O936" t="s">
        <v>74</v>
      </c>
      <c r="P936" t="s">
        <v>74</v>
      </c>
      <c r="Q936" t="s">
        <v>74</v>
      </c>
      <c r="R936" t="s">
        <v>74</v>
      </c>
      <c r="S936" t="s">
        <v>74</v>
      </c>
      <c r="T936" t="s">
        <v>14644</v>
      </c>
      <c r="U936" t="s">
        <v>14645</v>
      </c>
      <c r="V936" t="s">
        <v>14646</v>
      </c>
      <c r="W936" t="s">
        <v>14647</v>
      </c>
      <c r="X936" t="s">
        <v>14648</v>
      </c>
      <c r="Y936" t="s">
        <v>14649</v>
      </c>
      <c r="Z936" t="s">
        <v>14650</v>
      </c>
      <c r="AA936" t="s">
        <v>14651</v>
      </c>
      <c r="AB936" t="s">
        <v>14652</v>
      </c>
      <c r="AC936" t="s">
        <v>74</v>
      </c>
      <c r="AD936" t="s">
        <v>74</v>
      </c>
      <c r="AE936" t="s">
        <v>74</v>
      </c>
      <c r="AF936" t="s">
        <v>74</v>
      </c>
      <c r="AG936">
        <v>33</v>
      </c>
      <c r="AH936">
        <v>21</v>
      </c>
      <c r="AI936">
        <v>22</v>
      </c>
      <c r="AJ936">
        <v>0</v>
      </c>
      <c r="AK936">
        <v>17</v>
      </c>
      <c r="AL936" t="s">
        <v>817</v>
      </c>
      <c r="AM936" t="s">
        <v>818</v>
      </c>
      <c r="AN936" t="s">
        <v>819</v>
      </c>
      <c r="AO936" t="s">
        <v>9132</v>
      </c>
      <c r="AP936" t="s">
        <v>9133</v>
      </c>
      <c r="AQ936" t="s">
        <v>74</v>
      </c>
      <c r="AR936" t="s">
        <v>9134</v>
      </c>
      <c r="AS936" t="s">
        <v>9135</v>
      </c>
      <c r="AT936" t="s">
        <v>13673</v>
      </c>
      <c r="AU936">
        <v>2006</v>
      </c>
      <c r="AV936">
        <v>52</v>
      </c>
      <c r="AW936">
        <v>9</v>
      </c>
      <c r="AX936" t="s">
        <v>74</v>
      </c>
      <c r="AY936" t="s">
        <v>74</v>
      </c>
      <c r="AZ936" t="s">
        <v>74</v>
      </c>
      <c r="BA936" t="s">
        <v>74</v>
      </c>
      <c r="BB936">
        <v>1077</v>
      </c>
      <c r="BC936">
        <v>1080</v>
      </c>
      <c r="BD936" t="s">
        <v>74</v>
      </c>
      <c r="BE936" t="s">
        <v>14653</v>
      </c>
      <c r="BF936" t="str">
        <f>HYPERLINK("http://dx.doi.org/10.1016/j.marpolbul.2006.05.003","http://dx.doi.org/10.1016/j.marpolbul.2006.05.003")</f>
        <v>http://dx.doi.org/10.1016/j.marpolbul.2006.05.003</v>
      </c>
      <c r="BG936" t="s">
        <v>74</v>
      </c>
      <c r="BH936" t="s">
        <v>74</v>
      </c>
      <c r="BI936">
        <v>4</v>
      </c>
      <c r="BJ936" t="s">
        <v>9136</v>
      </c>
      <c r="BK936" t="s">
        <v>97</v>
      </c>
      <c r="BL936" t="s">
        <v>198</v>
      </c>
      <c r="BM936" t="s">
        <v>14654</v>
      </c>
      <c r="BN936" t="s">
        <v>74</v>
      </c>
      <c r="BO936" t="s">
        <v>74</v>
      </c>
      <c r="BP936" t="s">
        <v>74</v>
      </c>
      <c r="BQ936" t="s">
        <v>74</v>
      </c>
      <c r="BR936" t="s">
        <v>100</v>
      </c>
      <c r="BS936" t="s">
        <v>14655</v>
      </c>
      <c r="BT936" t="str">
        <f>HYPERLINK("https%3A%2F%2Fwww.webofscience.com%2Fwos%2Fwoscc%2Ffull-record%2FWOS:000241252500019","View Full Record in Web of Science")</f>
        <v>View Full Record in Web of Science</v>
      </c>
    </row>
    <row r="937" spans="1:72" x14ac:dyDescent="0.15">
      <c r="A937" t="s">
        <v>72</v>
      </c>
      <c r="B937" t="s">
        <v>14656</v>
      </c>
      <c r="C937" t="s">
        <v>74</v>
      </c>
      <c r="D937" t="s">
        <v>74</v>
      </c>
      <c r="E937" t="s">
        <v>74</v>
      </c>
      <c r="F937" t="s">
        <v>14657</v>
      </c>
      <c r="G937" t="s">
        <v>74</v>
      </c>
      <c r="H937" t="s">
        <v>74</v>
      </c>
      <c r="I937" t="s">
        <v>14658</v>
      </c>
      <c r="J937" t="s">
        <v>4892</v>
      </c>
      <c r="K937" t="s">
        <v>74</v>
      </c>
      <c r="L937" t="s">
        <v>74</v>
      </c>
      <c r="M937" t="s">
        <v>78</v>
      </c>
      <c r="N937" t="s">
        <v>79</v>
      </c>
      <c r="O937" t="s">
        <v>74</v>
      </c>
      <c r="P937" t="s">
        <v>74</v>
      </c>
      <c r="Q937" t="s">
        <v>74</v>
      </c>
      <c r="R937" t="s">
        <v>74</v>
      </c>
      <c r="S937" t="s">
        <v>74</v>
      </c>
      <c r="T937" t="s">
        <v>74</v>
      </c>
      <c r="U937" t="s">
        <v>14659</v>
      </c>
      <c r="V937" t="s">
        <v>14660</v>
      </c>
      <c r="W937" t="s">
        <v>14661</v>
      </c>
      <c r="X937" t="s">
        <v>14662</v>
      </c>
      <c r="Y937" t="s">
        <v>14663</v>
      </c>
      <c r="Z937" t="s">
        <v>14664</v>
      </c>
      <c r="AA937" t="s">
        <v>74</v>
      </c>
      <c r="AB937" t="s">
        <v>14665</v>
      </c>
      <c r="AC937" t="s">
        <v>74</v>
      </c>
      <c r="AD937" t="s">
        <v>74</v>
      </c>
      <c r="AE937" t="s">
        <v>74</v>
      </c>
      <c r="AF937" t="s">
        <v>74</v>
      </c>
      <c r="AG937">
        <v>87</v>
      </c>
      <c r="AH937">
        <v>17</v>
      </c>
      <c r="AI937">
        <v>20</v>
      </c>
      <c r="AJ937">
        <v>0</v>
      </c>
      <c r="AK937">
        <v>9</v>
      </c>
      <c r="AL937" t="s">
        <v>159</v>
      </c>
      <c r="AM937" t="s">
        <v>160</v>
      </c>
      <c r="AN937" t="s">
        <v>161</v>
      </c>
      <c r="AO937" t="s">
        <v>4901</v>
      </c>
      <c r="AP937" t="s">
        <v>4902</v>
      </c>
      <c r="AQ937" t="s">
        <v>74</v>
      </c>
      <c r="AR937" t="s">
        <v>4903</v>
      </c>
      <c r="AS937" t="s">
        <v>4904</v>
      </c>
      <c r="AT937" t="s">
        <v>13673</v>
      </c>
      <c r="AU937">
        <v>2006</v>
      </c>
      <c r="AV937">
        <v>41</v>
      </c>
      <c r="AW937">
        <v>9</v>
      </c>
      <c r="AX937" t="s">
        <v>74</v>
      </c>
      <c r="AY937" t="s">
        <v>74</v>
      </c>
      <c r="AZ937" t="s">
        <v>74</v>
      </c>
      <c r="BA937" t="s">
        <v>74</v>
      </c>
      <c r="BB937">
        <v>1291</v>
      </c>
      <c r="BC937">
        <v>1303</v>
      </c>
      <c r="BD937" t="s">
        <v>74</v>
      </c>
      <c r="BE937" t="s">
        <v>14666</v>
      </c>
      <c r="BF937" t="str">
        <f>HYPERLINK("http://dx.doi.org/10.1111/j.1945-5100.2006.tb00522.x","http://dx.doi.org/10.1111/j.1945-5100.2006.tb00522.x")</f>
        <v>http://dx.doi.org/10.1111/j.1945-5100.2006.tb00522.x</v>
      </c>
      <c r="BG937" t="s">
        <v>74</v>
      </c>
      <c r="BH937" t="s">
        <v>74</v>
      </c>
      <c r="BI937">
        <v>13</v>
      </c>
      <c r="BJ937" t="s">
        <v>865</v>
      </c>
      <c r="BK937" t="s">
        <v>97</v>
      </c>
      <c r="BL937" t="s">
        <v>865</v>
      </c>
      <c r="BM937" t="s">
        <v>14667</v>
      </c>
      <c r="BN937" t="s">
        <v>74</v>
      </c>
      <c r="BO937" t="s">
        <v>124</v>
      </c>
      <c r="BP937" t="s">
        <v>74</v>
      </c>
      <c r="BQ937" t="s">
        <v>74</v>
      </c>
      <c r="BR937" t="s">
        <v>100</v>
      </c>
      <c r="BS937" t="s">
        <v>14668</v>
      </c>
      <c r="BT937" t="str">
        <f>HYPERLINK("https%3A%2F%2Fwww.webofscience.com%2Fwos%2Fwoscc%2Ffull-record%2FWOS:000240661600002","View Full Record in Web of Science")</f>
        <v>View Full Record in Web of Science</v>
      </c>
    </row>
    <row r="938" spans="1:72" x14ac:dyDescent="0.15">
      <c r="A938" t="s">
        <v>72</v>
      </c>
      <c r="B938" t="s">
        <v>14669</v>
      </c>
      <c r="C938" t="s">
        <v>74</v>
      </c>
      <c r="D938" t="s">
        <v>74</v>
      </c>
      <c r="E938" t="s">
        <v>74</v>
      </c>
      <c r="F938" t="s">
        <v>14670</v>
      </c>
      <c r="G938" t="s">
        <v>74</v>
      </c>
      <c r="H938" t="s">
        <v>74</v>
      </c>
      <c r="I938" t="s">
        <v>14671</v>
      </c>
      <c r="J938" t="s">
        <v>4892</v>
      </c>
      <c r="K938" t="s">
        <v>74</v>
      </c>
      <c r="L938" t="s">
        <v>74</v>
      </c>
      <c r="M938" t="s">
        <v>78</v>
      </c>
      <c r="N938" t="s">
        <v>79</v>
      </c>
      <c r="O938" t="s">
        <v>74</v>
      </c>
      <c r="P938" t="s">
        <v>74</v>
      </c>
      <c r="Q938" t="s">
        <v>74</v>
      </c>
      <c r="R938" t="s">
        <v>74</v>
      </c>
      <c r="S938" t="s">
        <v>74</v>
      </c>
      <c r="T938" t="s">
        <v>74</v>
      </c>
      <c r="U938" t="s">
        <v>14672</v>
      </c>
      <c r="V938" t="s">
        <v>14673</v>
      </c>
      <c r="W938" t="s">
        <v>14674</v>
      </c>
      <c r="X938" t="s">
        <v>3259</v>
      </c>
      <c r="Y938" t="s">
        <v>14675</v>
      </c>
      <c r="Z938" t="s">
        <v>14676</v>
      </c>
      <c r="AA938" t="s">
        <v>74</v>
      </c>
      <c r="AB938" t="s">
        <v>74</v>
      </c>
      <c r="AC938" t="s">
        <v>74</v>
      </c>
      <c r="AD938" t="s">
        <v>74</v>
      </c>
      <c r="AE938" t="s">
        <v>74</v>
      </c>
      <c r="AF938" t="s">
        <v>74</v>
      </c>
      <c r="AG938">
        <v>12</v>
      </c>
      <c r="AH938">
        <v>31</v>
      </c>
      <c r="AI938">
        <v>33</v>
      </c>
      <c r="AJ938">
        <v>0</v>
      </c>
      <c r="AK938">
        <v>16</v>
      </c>
      <c r="AL938" t="s">
        <v>14677</v>
      </c>
      <c r="AM938" t="s">
        <v>14678</v>
      </c>
      <c r="AN938" t="s">
        <v>14679</v>
      </c>
      <c r="AO938" t="s">
        <v>4901</v>
      </c>
      <c r="AP938" t="s">
        <v>74</v>
      </c>
      <c r="AQ938" t="s">
        <v>74</v>
      </c>
      <c r="AR938" t="s">
        <v>4903</v>
      </c>
      <c r="AS938" t="s">
        <v>4904</v>
      </c>
      <c r="AT938" t="s">
        <v>13673</v>
      </c>
      <c r="AU938">
        <v>2006</v>
      </c>
      <c r="AV938">
        <v>41</v>
      </c>
      <c r="AW938">
        <v>9</v>
      </c>
      <c r="AX938" t="s">
        <v>74</v>
      </c>
      <c r="AY938" t="s">
        <v>74</v>
      </c>
      <c r="AZ938" t="s">
        <v>74</v>
      </c>
      <c r="BA938" t="s">
        <v>74</v>
      </c>
      <c r="BB938">
        <v>1381</v>
      </c>
      <c r="BC938">
        <v>1382</v>
      </c>
      <c r="BD938" t="s">
        <v>74</v>
      </c>
      <c r="BE938" t="s">
        <v>14680</v>
      </c>
      <c r="BF938" t="str">
        <f>HYPERLINK("http://dx.doi.org/10.1111/j.1945-5100.2006.tb00528.x","http://dx.doi.org/10.1111/j.1945-5100.2006.tb00528.x")</f>
        <v>http://dx.doi.org/10.1111/j.1945-5100.2006.tb00528.x</v>
      </c>
      <c r="BG938" t="s">
        <v>74</v>
      </c>
      <c r="BH938" t="s">
        <v>74</v>
      </c>
      <c r="BI938">
        <v>2</v>
      </c>
      <c r="BJ938" t="s">
        <v>865</v>
      </c>
      <c r="BK938" t="s">
        <v>97</v>
      </c>
      <c r="BL938" t="s">
        <v>865</v>
      </c>
      <c r="BM938" t="s">
        <v>14667</v>
      </c>
      <c r="BN938" t="s">
        <v>74</v>
      </c>
      <c r="BO938" t="s">
        <v>124</v>
      </c>
      <c r="BP938" t="s">
        <v>74</v>
      </c>
      <c r="BQ938" t="s">
        <v>74</v>
      </c>
      <c r="BR938" t="s">
        <v>100</v>
      </c>
      <c r="BS938" t="s">
        <v>14681</v>
      </c>
      <c r="BT938" t="str">
        <f>HYPERLINK("https%3A%2F%2Fwww.webofscience.com%2Fwos%2Fwoscc%2Ffull-record%2FWOS:000240661600008","View Full Record in Web of Science")</f>
        <v>View Full Record in Web of Science</v>
      </c>
    </row>
    <row r="939" spans="1:72" x14ac:dyDescent="0.15">
      <c r="A939" t="s">
        <v>72</v>
      </c>
      <c r="B939" t="s">
        <v>14682</v>
      </c>
      <c r="C939" t="s">
        <v>74</v>
      </c>
      <c r="D939" t="s">
        <v>74</v>
      </c>
      <c r="E939" t="s">
        <v>74</v>
      </c>
      <c r="F939" t="s">
        <v>14683</v>
      </c>
      <c r="G939" t="s">
        <v>74</v>
      </c>
      <c r="H939" t="s">
        <v>74</v>
      </c>
      <c r="I939" t="s">
        <v>14684</v>
      </c>
      <c r="J939" t="s">
        <v>4892</v>
      </c>
      <c r="K939" t="s">
        <v>74</v>
      </c>
      <c r="L939" t="s">
        <v>74</v>
      </c>
      <c r="M939" t="s">
        <v>78</v>
      </c>
      <c r="N939" t="s">
        <v>79</v>
      </c>
      <c r="O939" t="s">
        <v>74</v>
      </c>
      <c r="P939" t="s">
        <v>74</v>
      </c>
      <c r="Q939" t="s">
        <v>74</v>
      </c>
      <c r="R939" t="s">
        <v>74</v>
      </c>
      <c r="S939" t="s">
        <v>74</v>
      </c>
      <c r="T939" t="s">
        <v>74</v>
      </c>
      <c r="U939" t="s">
        <v>74</v>
      </c>
      <c r="V939" t="s">
        <v>74</v>
      </c>
      <c r="W939" t="s">
        <v>14685</v>
      </c>
      <c r="X939" t="s">
        <v>14686</v>
      </c>
      <c r="Y939" t="s">
        <v>14687</v>
      </c>
      <c r="Z939" t="s">
        <v>14688</v>
      </c>
      <c r="AA939" t="s">
        <v>14689</v>
      </c>
      <c r="AB939" t="s">
        <v>14690</v>
      </c>
      <c r="AC939" t="s">
        <v>74</v>
      </c>
      <c r="AD939" t="s">
        <v>74</v>
      </c>
      <c r="AE939" t="s">
        <v>74</v>
      </c>
      <c r="AF939" t="s">
        <v>74</v>
      </c>
      <c r="AG939">
        <v>0</v>
      </c>
      <c r="AH939">
        <v>75</v>
      </c>
      <c r="AI939">
        <v>83</v>
      </c>
      <c r="AJ939">
        <v>0</v>
      </c>
      <c r="AK939">
        <v>0</v>
      </c>
      <c r="AL939" t="s">
        <v>159</v>
      </c>
      <c r="AM939" t="s">
        <v>160</v>
      </c>
      <c r="AN939" t="s">
        <v>161</v>
      </c>
      <c r="AO939" t="s">
        <v>4901</v>
      </c>
      <c r="AP939" t="s">
        <v>4902</v>
      </c>
      <c r="AQ939" t="s">
        <v>74</v>
      </c>
      <c r="AR939" t="s">
        <v>4903</v>
      </c>
      <c r="AS939" t="s">
        <v>4904</v>
      </c>
      <c r="AT939" t="s">
        <v>13673</v>
      </c>
      <c r="AU939">
        <v>2006</v>
      </c>
      <c r="AV939">
        <v>41</v>
      </c>
      <c r="AW939">
        <v>9</v>
      </c>
      <c r="AX939" t="s">
        <v>74</v>
      </c>
      <c r="AY939" t="s">
        <v>74</v>
      </c>
      <c r="AZ939" t="s">
        <v>74</v>
      </c>
      <c r="BA939" t="s">
        <v>74</v>
      </c>
      <c r="BB939">
        <v>1383</v>
      </c>
      <c r="BC939">
        <v>1418</v>
      </c>
      <c r="BD939" t="s">
        <v>74</v>
      </c>
      <c r="BE939" t="s">
        <v>74</v>
      </c>
      <c r="BF939" t="s">
        <v>74</v>
      </c>
      <c r="BG939" t="s">
        <v>74</v>
      </c>
      <c r="BH939" t="s">
        <v>74</v>
      </c>
      <c r="BI939">
        <v>36</v>
      </c>
      <c r="BJ939" t="s">
        <v>865</v>
      </c>
      <c r="BK939" t="s">
        <v>97</v>
      </c>
      <c r="BL939" t="s">
        <v>865</v>
      </c>
      <c r="BM939" t="s">
        <v>14691</v>
      </c>
      <c r="BN939" t="s">
        <v>74</v>
      </c>
      <c r="BO939" t="s">
        <v>74</v>
      </c>
      <c r="BP939" t="s">
        <v>74</v>
      </c>
      <c r="BQ939" t="s">
        <v>74</v>
      </c>
      <c r="BR939" t="s">
        <v>100</v>
      </c>
      <c r="BS939" t="s">
        <v>14692</v>
      </c>
      <c r="BT939" t="str">
        <f>HYPERLINK("https%3A%2F%2Fwww.webofscience.com%2Fwos%2Fwoscc%2Ffull-record%2FWOS:000427896600001","View Full Record in Web of Science")</f>
        <v>View Full Record in Web of Science</v>
      </c>
    </row>
    <row r="940" spans="1:72" x14ac:dyDescent="0.15">
      <c r="A940" t="s">
        <v>72</v>
      </c>
      <c r="B940" t="s">
        <v>14693</v>
      </c>
      <c r="C940" t="s">
        <v>74</v>
      </c>
      <c r="D940" t="s">
        <v>74</v>
      </c>
      <c r="E940" t="s">
        <v>74</v>
      </c>
      <c r="F940" t="s">
        <v>14694</v>
      </c>
      <c r="G940" t="s">
        <v>74</v>
      </c>
      <c r="H940" t="s">
        <v>74</v>
      </c>
      <c r="I940" t="s">
        <v>14695</v>
      </c>
      <c r="J940" t="s">
        <v>11196</v>
      </c>
      <c r="K940" t="s">
        <v>74</v>
      </c>
      <c r="L940" t="s">
        <v>74</v>
      </c>
      <c r="M940" t="s">
        <v>78</v>
      </c>
      <c r="N940" t="s">
        <v>79</v>
      </c>
      <c r="O940" t="s">
        <v>74</v>
      </c>
      <c r="P940" t="s">
        <v>74</v>
      </c>
      <c r="Q940" t="s">
        <v>74</v>
      </c>
      <c r="R940" t="s">
        <v>74</v>
      </c>
      <c r="S940" t="s">
        <v>74</v>
      </c>
      <c r="T940" t="s">
        <v>14696</v>
      </c>
      <c r="U940" t="s">
        <v>14697</v>
      </c>
      <c r="V940" t="s">
        <v>14698</v>
      </c>
      <c r="W940" t="s">
        <v>14699</v>
      </c>
      <c r="X940" t="s">
        <v>14700</v>
      </c>
      <c r="Y940" t="s">
        <v>14701</v>
      </c>
      <c r="Z940" t="s">
        <v>14702</v>
      </c>
      <c r="AA940" t="s">
        <v>14703</v>
      </c>
      <c r="AB940" t="s">
        <v>14704</v>
      </c>
      <c r="AC940" t="s">
        <v>74</v>
      </c>
      <c r="AD940" t="s">
        <v>74</v>
      </c>
      <c r="AE940" t="s">
        <v>74</v>
      </c>
      <c r="AF940" t="s">
        <v>74</v>
      </c>
      <c r="AG940">
        <v>66</v>
      </c>
      <c r="AH940">
        <v>87</v>
      </c>
      <c r="AI940">
        <v>100</v>
      </c>
      <c r="AJ940">
        <v>0</v>
      </c>
      <c r="AK940">
        <v>23</v>
      </c>
      <c r="AL940" t="s">
        <v>10638</v>
      </c>
      <c r="AM940" t="s">
        <v>6911</v>
      </c>
      <c r="AN940" t="s">
        <v>10639</v>
      </c>
      <c r="AO940" t="s">
        <v>11206</v>
      </c>
      <c r="AP940" t="s">
        <v>74</v>
      </c>
      <c r="AQ940" t="s">
        <v>74</v>
      </c>
      <c r="AR940" t="s">
        <v>11208</v>
      </c>
      <c r="AS940" t="s">
        <v>11209</v>
      </c>
      <c r="AT940" t="s">
        <v>13673</v>
      </c>
      <c r="AU940">
        <v>2006</v>
      </c>
      <c r="AV940">
        <v>40</v>
      </c>
      <c r="AW940">
        <v>3</v>
      </c>
      <c r="AX940" t="s">
        <v>74</v>
      </c>
      <c r="AY940" t="s">
        <v>74</v>
      </c>
      <c r="AZ940" t="s">
        <v>74</v>
      </c>
      <c r="BA940" t="s">
        <v>74</v>
      </c>
      <c r="BB940">
        <v>696</v>
      </c>
      <c r="BC940">
        <v>711</v>
      </c>
      <c r="BD940" t="s">
        <v>74</v>
      </c>
      <c r="BE940" t="s">
        <v>14705</v>
      </c>
      <c r="BF940" t="str">
        <f>HYPERLINK("http://dx.doi.org/10.1016/j.ympev.2006.04.005","http://dx.doi.org/10.1016/j.ympev.2006.04.005")</f>
        <v>http://dx.doi.org/10.1016/j.ympev.2006.04.005</v>
      </c>
      <c r="BG940" t="s">
        <v>74</v>
      </c>
      <c r="BH940" t="s">
        <v>74</v>
      </c>
      <c r="BI940">
        <v>16</v>
      </c>
      <c r="BJ940" t="s">
        <v>11190</v>
      </c>
      <c r="BK940" t="s">
        <v>97</v>
      </c>
      <c r="BL940" t="s">
        <v>11190</v>
      </c>
      <c r="BM940" t="s">
        <v>14706</v>
      </c>
      <c r="BN940">
        <v>16750400</v>
      </c>
      <c r="BO940" t="s">
        <v>74</v>
      </c>
      <c r="BP940" t="s">
        <v>74</v>
      </c>
      <c r="BQ940" t="s">
        <v>74</v>
      </c>
      <c r="BR940" t="s">
        <v>100</v>
      </c>
      <c r="BS940" t="s">
        <v>14707</v>
      </c>
      <c r="BT940" t="str">
        <f>HYPERLINK("https%3A%2F%2Fwww.webofscience.com%2Fwos%2Fwoscc%2Ffull-record%2FWOS:000240244600005","View Full Record in Web of Science")</f>
        <v>View Full Record in Web of Science</v>
      </c>
    </row>
    <row r="941" spans="1:72" x14ac:dyDescent="0.15">
      <c r="A941" t="s">
        <v>72</v>
      </c>
      <c r="B941" t="s">
        <v>14708</v>
      </c>
      <c r="C941" t="s">
        <v>74</v>
      </c>
      <c r="D941" t="s">
        <v>74</v>
      </c>
      <c r="E941" t="s">
        <v>74</v>
      </c>
      <c r="F941" t="s">
        <v>14709</v>
      </c>
      <c r="G941" t="s">
        <v>74</v>
      </c>
      <c r="H941" t="s">
        <v>74</v>
      </c>
      <c r="I941" t="s">
        <v>14710</v>
      </c>
      <c r="J941" t="s">
        <v>14711</v>
      </c>
      <c r="K941" t="s">
        <v>74</v>
      </c>
      <c r="L941" t="s">
        <v>74</v>
      </c>
      <c r="M941" t="s">
        <v>78</v>
      </c>
      <c r="N941" t="s">
        <v>79</v>
      </c>
      <c r="O941" t="s">
        <v>74</v>
      </c>
      <c r="P941" t="s">
        <v>74</v>
      </c>
      <c r="Q941" t="s">
        <v>74</v>
      </c>
      <c r="R941" t="s">
        <v>74</v>
      </c>
      <c r="S941" t="s">
        <v>74</v>
      </c>
      <c r="T941" t="s">
        <v>14712</v>
      </c>
      <c r="U941" t="s">
        <v>14713</v>
      </c>
      <c r="V941" t="s">
        <v>14714</v>
      </c>
      <c r="W941" t="s">
        <v>14715</v>
      </c>
      <c r="X941" t="s">
        <v>14716</v>
      </c>
      <c r="Y941" t="s">
        <v>14717</v>
      </c>
      <c r="Z941" t="s">
        <v>14718</v>
      </c>
      <c r="AA941" t="s">
        <v>14719</v>
      </c>
      <c r="AB941" t="s">
        <v>14720</v>
      </c>
      <c r="AC941" t="s">
        <v>74</v>
      </c>
      <c r="AD941" t="s">
        <v>74</v>
      </c>
      <c r="AE941" t="s">
        <v>74</v>
      </c>
      <c r="AF941" t="s">
        <v>74</v>
      </c>
      <c r="AG941">
        <v>44</v>
      </c>
      <c r="AH941">
        <v>101</v>
      </c>
      <c r="AI941">
        <v>123</v>
      </c>
      <c r="AJ941">
        <v>1</v>
      </c>
      <c r="AK941">
        <v>48</v>
      </c>
      <c r="AL941" t="s">
        <v>613</v>
      </c>
      <c r="AM941" t="s">
        <v>678</v>
      </c>
      <c r="AN941" t="s">
        <v>679</v>
      </c>
      <c r="AO941" t="s">
        <v>14721</v>
      </c>
      <c r="AP941" t="s">
        <v>14722</v>
      </c>
      <c r="AQ941" t="s">
        <v>74</v>
      </c>
      <c r="AR941" t="s">
        <v>14711</v>
      </c>
      <c r="AS941" t="s">
        <v>14723</v>
      </c>
      <c r="AT941" t="s">
        <v>13673</v>
      </c>
      <c r="AU941">
        <v>2006</v>
      </c>
      <c r="AV941">
        <v>149</v>
      </c>
      <c r="AW941">
        <v>3</v>
      </c>
      <c r="AX941" t="s">
        <v>74</v>
      </c>
      <c r="AY941" t="s">
        <v>74</v>
      </c>
      <c r="AZ941" t="s">
        <v>74</v>
      </c>
      <c r="BA941" t="s">
        <v>74</v>
      </c>
      <c r="BB941">
        <v>383</v>
      </c>
      <c r="BC941">
        <v>395</v>
      </c>
      <c r="BD941" t="s">
        <v>74</v>
      </c>
      <c r="BE941" t="s">
        <v>14724</v>
      </c>
      <c r="BF941" t="str">
        <f>HYPERLINK("http://dx.doi.org/10.1007/s00442-006-0463-7","http://dx.doi.org/10.1007/s00442-006-0463-7")</f>
        <v>http://dx.doi.org/10.1007/s00442-006-0463-7</v>
      </c>
      <c r="BG941" t="s">
        <v>74</v>
      </c>
      <c r="BH941" t="s">
        <v>74</v>
      </c>
      <c r="BI941">
        <v>13</v>
      </c>
      <c r="BJ941" t="s">
        <v>5787</v>
      </c>
      <c r="BK941" t="s">
        <v>97</v>
      </c>
      <c r="BL941" t="s">
        <v>226</v>
      </c>
      <c r="BM941" t="s">
        <v>14725</v>
      </c>
      <c r="BN941">
        <v>16794832</v>
      </c>
      <c r="BO941" t="s">
        <v>74</v>
      </c>
      <c r="BP941" t="s">
        <v>74</v>
      </c>
      <c r="BQ941" t="s">
        <v>74</v>
      </c>
      <c r="BR941" t="s">
        <v>100</v>
      </c>
      <c r="BS941" t="s">
        <v>14726</v>
      </c>
      <c r="BT941" t="str">
        <f>HYPERLINK("https%3A%2F%2Fwww.webofscience.com%2Fwos%2Fwoscc%2Ffull-record%2FWOS:000240104600002","View Full Record in Web of Science")</f>
        <v>View Full Record in Web of Science</v>
      </c>
    </row>
    <row r="942" spans="1:72" x14ac:dyDescent="0.15">
      <c r="A942" t="s">
        <v>72</v>
      </c>
      <c r="B942" t="s">
        <v>14727</v>
      </c>
      <c r="C942" t="s">
        <v>74</v>
      </c>
      <c r="D942" t="s">
        <v>74</v>
      </c>
      <c r="E942" t="s">
        <v>74</v>
      </c>
      <c r="F942" t="s">
        <v>14728</v>
      </c>
      <c r="G942" t="s">
        <v>74</v>
      </c>
      <c r="H942" t="s">
        <v>74</v>
      </c>
      <c r="I942" t="s">
        <v>14729</v>
      </c>
      <c r="J942" t="s">
        <v>5588</v>
      </c>
      <c r="K942" t="s">
        <v>74</v>
      </c>
      <c r="L942" t="s">
        <v>74</v>
      </c>
      <c r="M942" t="s">
        <v>78</v>
      </c>
      <c r="N942" t="s">
        <v>79</v>
      </c>
      <c r="O942" t="s">
        <v>74</v>
      </c>
      <c r="P942" t="s">
        <v>74</v>
      </c>
      <c r="Q942" t="s">
        <v>74</v>
      </c>
      <c r="R942" t="s">
        <v>74</v>
      </c>
      <c r="S942" t="s">
        <v>74</v>
      </c>
      <c r="T942" t="s">
        <v>74</v>
      </c>
      <c r="U942" t="s">
        <v>14730</v>
      </c>
      <c r="V942" t="s">
        <v>14731</v>
      </c>
      <c r="W942" t="s">
        <v>14732</v>
      </c>
      <c r="X942" t="s">
        <v>14733</v>
      </c>
      <c r="Y942" t="s">
        <v>13100</v>
      </c>
      <c r="Z942" t="s">
        <v>13101</v>
      </c>
      <c r="AA942" t="s">
        <v>14734</v>
      </c>
      <c r="AB942" t="s">
        <v>14735</v>
      </c>
      <c r="AC942" t="s">
        <v>74</v>
      </c>
      <c r="AD942" t="s">
        <v>74</v>
      </c>
      <c r="AE942" t="s">
        <v>74</v>
      </c>
      <c r="AF942" t="s">
        <v>74</v>
      </c>
      <c r="AG942">
        <v>36</v>
      </c>
      <c r="AH942">
        <v>30</v>
      </c>
      <c r="AI942">
        <v>32</v>
      </c>
      <c r="AJ942">
        <v>0</v>
      </c>
      <c r="AK942">
        <v>7</v>
      </c>
      <c r="AL942" t="s">
        <v>613</v>
      </c>
      <c r="AM942" t="s">
        <v>678</v>
      </c>
      <c r="AN942" t="s">
        <v>4336</v>
      </c>
      <c r="AO942" t="s">
        <v>5597</v>
      </c>
      <c r="AP942" t="s">
        <v>74</v>
      </c>
      <c r="AQ942" t="s">
        <v>74</v>
      </c>
      <c r="AR942" t="s">
        <v>5599</v>
      </c>
      <c r="AS942" t="s">
        <v>5600</v>
      </c>
      <c r="AT942" t="s">
        <v>13673</v>
      </c>
      <c r="AU942">
        <v>2006</v>
      </c>
      <c r="AV942">
        <v>29</v>
      </c>
      <c r="AW942">
        <v>10</v>
      </c>
      <c r="AX942" t="s">
        <v>74</v>
      </c>
      <c r="AY942" t="s">
        <v>74</v>
      </c>
      <c r="AZ942" t="s">
        <v>74</v>
      </c>
      <c r="BA942" t="s">
        <v>74</v>
      </c>
      <c r="BB942">
        <v>813</v>
      </c>
      <c r="BC942">
        <v>819</v>
      </c>
      <c r="BD942" t="s">
        <v>74</v>
      </c>
      <c r="BE942" t="s">
        <v>14736</v>
      </c>
      <c r="BF942" t="str">
        <f>HYPERLINK("http://dx.doi.org/10.1007/s00300-006-0119-4","http://dx.doi.org/10.1007/s00300-006-0119-4")</f>
        <v>http://dx.doi.org/10.1007/s00300-006-0119-4</v>
      </c>
      <c r="BG942" t="s">
        <v>74</v>
      </c>
      <c r="BH942" t="s">
        <v>74</v>
      </c>
      <c r="BI942">
        <v>7</v>
      </c>
      <c r="BJ942" t="s">
        <v>5602</v>
      </c>
      <c r="BK942" t="s">
        <v>97</v>
      </c>
      <c r="BL942" t="s">
        <v>5603</v>
      </c>
      <c r="BM942" t="s">
        <v>14737</v>
      </c>
      <c r="BN942" t="s">
        <v>74</v>
      </c>
      <c r="BO942" t="s">
        <v>74</v>
      </c>
      <c r="BP942" t="s">
        <v>74</v>
      </c>
      <c r="BQ942" t="s">
        <v>74</v>
      </c>
      <c r="BR942" t="s">
        <v>100</v>
      </c>
      <c r="BS942" t="s">
        <v>14738</v>
      </c>
      <c r="BT942" t="str">
        <f>HYPERLINK("https%3A%2F%2Fwww.webofscience.com%2Fwos%2Fwoscc%2Ffull-record%2FWOS:000241382900001","View Full Record in Web of Science")</f>
        <v>View Full Record in Web of Science</v>
      </c>
    </row>
    <row r="943" spans="1:72" x14ac:dyDescent="0.15">
      <c r="A943" t="s">
        <v>72</v>
      </c>
      <c r="B943" t="s">
        <v>14739</v>
      </c>
      <c r="C943" t="s">
        <v>74</v>
      </c>
      <c r="D943" t="s">
        <v>74</v>
      </c>
      <c r="E943" t="s">
        <v>74</v>
      </c>
      <c r="F943" t="s">
        <v>14740</v>
      </c>
      <c r="G943" t="s">
        <v>74</v>
      </c>
      <c r="H943" t="s">
        <v>74</v>
      </c>
      <c r="I943" t="s">
        <v>14741</v>
      </c>
      <c r="J943" t="s">
        <v>5588</v>
      </c>
      <c r="K943" t="s">
        <v>74</v>
      </c>
      <c r="L943" t="s">
        <v>74</v>
      </c>
      <c r="M943" t="s">
        <v>78</v>
      </c>
      <c r="N943" t="s">
        <v>79</v>
      </c>
      <c r="O943" t="s">
        <v>74</v>
      </c>
      <c r="P943" t="s">
        <v>74</v>
      </c>
      <c r="Q943" t="s">
        <v>74</v>
      </c>
      <c r="R943" t="s">
        <v>74</v>
      </c>
      <c r="S943" t="s">
        <v>74</v>
      </c>
      <c r="T943" t="s">
        <v>74</v>
      </c>
      <c r="U943" t="s">
        <v>14742</v>
      </c>
      <c r="V943" t="s">
        <v>14743</v>
      </c>
      <c r="W943" t="s">
        <v>14744</v>
      </c>
      <c r="X943" t="s">
        <v>14745</v>
      </c>
      <c r="Y943" t="s">
        <v>13233</v>
      </c>
      <c r="Z943" t="s">
        <v>13234</v>
      </c>
      <c r="AA943" t="s">
        <v>13235</v>
      </c>
      <c r="AB943" t="s">
        <v>14746</v>
      </c>
      <c r="AC943" t="s">
        <v>74</v>
      </c>
      <c r="AD943" t="s">
        <v>74</v>
      </c>
      <c r="AE943" t="s">
        <v>74</v>
      </c>
      <c r="AF943" t="s">
        <v>74</v>
      </c>
      <c r="AG943">
        <v>45</v>
      </c>
      <c r="AH943">
        <v>23</v>
      </c>
      <c r="AI943">
        <v>23</v>
      </c>
      <c r="AJ943">
        <v>1</v>
      </c>
      <c r="AK943">
        <v>11</v>
      </c>
      <c r="AL943" t="s">
        <v>613</v>
      </c>
      <c r="AM943" t="s">
        <v>678</v>
      </c>
      <c r="AN943" t="s">
        <v>679</v>
      </c>
      <c r="AO943" t="s">
        <v>5597</v>
      </c>
      <c r="AP943" t="s">
        <v>5598</v>
      </c>
      <c r="AQ943" t="s">
        <v>74</v>
      </c>
      <c r="AR943" t="s">
        <v>5599</v>
      </c>
      <c r="AS943" t="s">
        <v>5600</v>
      </c>
      <c r="AT943" t="s">
        <v>13673</v>
      </c>
      <c r="AU943">
        <v>2006</v>
      </c>
      <c r="AV943">
        <v>29</v>
      </c>
      <c r="AW943">
        <v>10</v>
      </c>
      <c r="AX943" t="s">
        <v>74</v>
      </c>
      <c r="AY943" t="s">
        <v>74</v>
      </c>
      <c r="AZ943" t="s">
        <v>74</v>
      </c>
      <c r="BA943" t="s">
        <v>74</v>
      </c>
      <c r="BB943">
        <v>820</v>
      </c>
      <c r="BC943">
        <v>830</v>
      </c>
      <c r="BD943" t="s">
        <v>74</v>
      </c>
      <c r="BE943" t="s">
        <v>14747</v>
      </c>
      <c r="BF943" t="str">
        <f>HYPERLINK("http://dx.doi.org/10.1007/s00300-006-0120-y","http://dx.doi.org/10.1007/s00300-006-0120-y")</f>
        <v>http://dx.doi.org/10.1007/s00300-006-0120-y</v>
      </c>
      <c r="BG943" t="s">
        <v>74</v>
      </c>
      <c r="BH943" t="s">
        <v>74</v>
      </c>
      <c r="BI943">
        <v>11</v>
      </c>
      <c r="BJ943" t="s">
        <v>5602</v>
      </c>
      <c r="BK943" t="s">
        <v>97</v>
      </c>
      <c r="BL943" t="s">
        <v>5603</v>
      </c>
      <c r="BM943" t="s">
        <v>14737</v>
      </c>
      <c r="BN943" t="s">
        <v>74</v>
      </c>
      <c r="BO943" t="s">
        <v>74</v>
      </c>
      <c r="BP943" t="s">
        <v>74</v>
      </c>
      <c r="BQ943" t="s">
        <v>74</v>
      </c>
      <c r="BR943" t="s">
        <v>100</v>
      </c>
      <c r="BS943" t="s">
        <v>14748</v>
      </c>
      <c r="BT943" t="str">
        <f>HYPERLINK("https%3A%2F%2Fwww.webofscience.com%2Fwos%2Fwoscc%2Ffull-record%2FWOS:000241382900002","View Full Record in Web of Science")</f>
        <v>View Full Record in Web of Science</v>
      </c>
    </row>
    <row r="944" spans="1:72" x14ac:dyDescent="0.15">
      <c r="A944" t="s">
        <v>72</v>
      </c>
      <c r="B944" t="s">
        <v>14749</v>
      </c>
      <c r="C944" t="s">
        <v>74</v>
      </c>
      <c r="D944" t="s">
        <v>74</v>
      </c>
      <c r="E944" t="s">
        <v>74</v>
      </c>
      <c r="F944" t="s">
        <v>14750</v>
      </c>
      <c r="G944" t="s">
        <v>74</v>
      </c>
      <c r="H944" t="s">
        <v>74</v>
      </c>
      <c r="I944" t="s">
        <v>14751</v>
      </c>
      <c r="J944" t="s">
        <v>5588</v>
      </c>
      <c r="K944" t="s">
        <v>74</v>
      </c>
      <c r="L944" t="s">
        <v>74</v>
      </c>
      <c r="M944" t="s">
        <v>78</v>
      </c>
      <c r="N944" t="s">
        <v>79</v>
      </c>
      <c r="O944" t="s">
        <v>74</v>
      </c>
      <c r="P944" t="s">
        <v>74</v>
      </c>
      <c r="Q944" t="s">
        <v>74</v>
      </c>
      <c r="R944" t="s">
        <v>74</v>
      </c>
      <c r="S944" t="s">
        <v>74</v>
      </c>
      <c r="T944" t="s">
        <v>74</v>
      </c>
      <c r="U944" t="s">
        <v>14752</v>
      </c>
      <c r="V944" t="s">
        <v>14753</v>
      </c>
      <c r="W944" t="s">
        <v>14754</v>
      </c>
      <c r="X944" t="s">
        <v>14755</v>
      </c>
      <c r="Y944" t="s">
        <v>14756</v>
      </c>
      <c r="Z944" t="s">
        <v>14757</v>
      </c>
      <c r="AA944" t="s">
        <v>14758</v>
      </c>
      <c r="AB944" t="s">
        <v>14759</v>
      </c>
      <c r="AC944" t="s">
        <v>74</v>
      </c>
      <c r="AD944" t="s">
        <v>74</v>
      </c>
      <c r="AE944" t="s">
        <v>74</v>
      </c>
      <c r="AF944" t="s">
        <v>74</v>
      </c>
      <c r="AG944">
        <v>43</v>
      </c>
      <c r="AH944">
        <v>12</v>
      </c>
      <c r="AI944">
        <v>15</v>
      </c>
      <c r="AJ944">
        <v>0</v>
      </c>
      <c r="AK944">
        <v>6</v>
      </c>
      <c r="AL944" t="s">
        <v>613</v>
      </c>
      <c r="AM944" t="s">
        <v>678</v>
      </c>
      <c r="AN944" t="s">
        <v>679</v>
      </c>
      <c r="AO944" t="s">
        <v>5597</v>
      </c>
      <c r="AP944" t="s">
        <v>5598</v>
      </c>
      <c r="AQ944" t="s">
        <v>74</v>
      </c>
      <c r="AR944" t="s">
        <v>5599</v>
      </c>
      <c r="AS944" t="s">
        <v>5600</v>
      </c>
      <c r="AT944" t="s">
        <v>13673</v>
      </c>
      <c r="AU944">
        <v>2006</v>
      </c>
      <c r="AV944">
        <v>29</v>
      </c>
      <c r="AW944">
        <v>10</v>
      </c>
      <c r="AX944" t="s">
        <v>74</v>
      </c>
      <c r="AY944" t="s">
        <v>74</v>
      </c>
      <c r="AZ944" t="s">
        <v>74</v>
      </c>
      <c r="BA944" t="s">
        <v>74</v>
      </c>
      <c r="BB944">
        <v>831</v>
      </c>
      <c r="BC944">
        <v>836</v>
      </c>
      <c r="BD944" t="s">
        <v>74</v>
      </c>
      <c r="BE944" t="s">
        <v>14760</v>
      </c>
      <c r="BF944" t="str">
        <f>HYPERLINK("http://dx.doi.org/10.1007/s00300-006-0121-x","http://dx.doi.org/10.1007/s00300-006-0121-x")</f>
        <v>http://dx.doi.org/10.1007/s00300-006-0121-x</v>
      </c>
      <c r="BG944" t="s">
        <v>74</v>
      </c>
      <c r="BH944" t="s">
        <v>74</v>
      </c>
      <c r="BI944">
        <v>6</v>
      </c>
      <c r="BJ944" t="s">
        <v>5602</v>
      </c>
      <c r="BK944" t="s">
        <v>97</v>
      </c>
      <c r="BL944" t="s">
        <v>5603</v>
      </c>
      <c r="BM944" t="s">
        <v>14737</v>
      </c>
      <c r="BN944" t="s">
        <v>74</v>
      </c>
      <c r="BO944" t="s">
        <v>74</v>
      </c>
      <c r="BP944" t="s">
        <v>74</v>
      </c>
      <c r="BQ944" t="s">
        <v>74</v>
      </c>
      <c r="BR944" t="s">
        <v>100</v>
      </c>
      <c r="BS944" t="s">
        <v>14761</v>
      </c>
      <c r="BT944" t="str">
        <f>HYPERLINK("https%3A%2F%2Fwww.webofscience.com%2Fwos%2Fwoscc%2Ffull-record%2FWOS:000241382900003","View Full Record in Web of Science")</f>
        <v>View Full Record in Web of Science</v>
      </c>
    </row>
    <row r="945" spans="1:72" x14ac:dyDescent="0.15">
      <c r="A945" t="s">
        <v>72</v>
      </c>
      <c r="B945" t="s">
        <v>14762</v>
      </c>
      <c r="C945" t="s">
        <v>74</v>
      </c>
      <c r="D945" t="s">
        <v>74</v>
      </c>
      <c r="E945" t="s">
        <v>74</v>
      </c>
      <c r="F945" t="s">
        <v>14763</v>
      </c>
      <c r="G945" t="s">
        <v>74</v>
      </c>
      <c r="H945" t="s">
        <v>74</v>
      </c>
      <c r="I945" t="s">
        <v>14764</v>
      </c>
      <c r="J945" t="s">
        <v>5588</v>
      </c>
      <c r="K945" t="s">
        <v>74</v>
      </c>
      <c r="L945" t="s">
        <v>74</v>
      </c>
      <c r="M945" t="s">
        <v>78</v>
      </c>
      <c r="N945" t="s">
        <v>79</v>
      </c>
      <c r="O945" t="s">
        <v>74</v>
      </c>
      <c r="P945" t="s">
        <v>74</v>
      </c>
      <c r="Q945" t="s">
        <v>74</v>
      </c>
      <c r="R945" t="s">
        <v>74</v>
      </c>
      <c r="S945" t="s">
        <v>74</v>
      </c>
      <c r="T945" t="s">
        <v>74</v>
      </c>
      <c r="U945" t="s">
        <v>14765</v>
      </c>
      <c r="V945" t="s">
        <v>14766</v>
      </c>
      <c r="W945" t="s">
        <v>14767</v>
      </c>
      <c r="X945" t="s">
        <v>12955</v>
      </c>
      <c r="Y945" t="s">
        <v>14768</v>
      </c>
      <c r="Z945" t="s">
        <v>14769</v>
      </c>
      <c r="AA945" t="s">
        <v>74</v>
      </c>
      <c r="AB945" t="s">
        <v>74</v>
      </c>
      <c r="AC945" t="s">
        <v>74</v>
      </c>
      <c r="AD945" t="s">
        <v>74</v>
      </c>
      <c r="AE945" t="s">
        <v>74</v>
      </c>
      <c r="AF945" t="s">
        <v>74</v>
      </c>
      <c r="AG945">
        <v>37</v>
      </c>
      <c r="AH945">
        <v>48</v>
      </c>
      <c r="AI945">
        <v>49</v>
      </c>
      <c r="AJ945">
        <v>0</v>
      </c>
      <c r="AK945">
        <v>17</v>
      </c>
      <c r="AL945" t="s">
        <v>613</v>
      </c>
      <c r="AM945" t="s">
        <v>678</v>
      </c>
      <c r="AN945" t="s">
        <v>4336</v>
      </c>
      <c r="AO945" t="s">
        <v>5597</v>
      </c>
      <c r="AP945" t="s">
        <v>74</v>
      </c>
      <c r="AQ945" t="s">
        <v>74</v>
      </c>
      <c r="AR945" t="s">
        <v>5599</v>
      </c>
      <c r="AS945" t="s">
        <v>5600</v>
      </c>
      <c r="AT945" t="s">
        <v>13673</v>
      </c>
      <c r="AU945">
        <v>2006</v>
      </c>
      <c r="AV945">
        <v>29</v>
      </c>
      <c r="AW945">
        <v>10</v>
      </c>
      <c r="AX945" t="s">
        <v>74</v>
      </c>
      <c r="AY945" t="s">
        <v>74</v>
      </c>
      <c r="AZ945" t="s">
        <v>74</v>
      </c>
      <c r="BA945" t="s">
        <v>74</v>
      </c>
      <c r="BB945">
        <v>860</v>
      </c>
      <c r="BC945">
        <v>871</v>
      </c>
      <c r="BD945" t="s">
        <v>74</v>
      </c>
      <c r="BE945" t="s">
        <v>14770</v>
      </c>
      <c r="BF945" t="str">
        <f>HYPERLINK("http://dx.doi.org/10.1007/s00300-006-0124-7","http://dx.doi.org/10.1007/s00300-006-0124-7")</f>
        <v>http://dx.doi.org/10.1007/s00300-006-0124-7</v>
      </c>
      <c r="BG945" t="s">
        <v>74</v>
      </c>
      <c r="BH945" t="s">
        <v>74</v>
      </c>
      <c r="BI945">
        <v>12</v>
      </c>
      <c r="BJ945" t="s">
        <v>5602</v>
      </c>
      <c r="BK945" t="s">
        <v>97</v>
      </c>
      <c r="BL945" t="s">
        <v>5603</v>
      </c>
      <c r="BM945" t="s">
        <v>14737</v>
      </c>
      <c r="BN945" t="s">
        <v>74</v>
      </c>
      <c r="BO945" t="s">
        <v>74</v>
      </c>
      <c r="BP945" t="s">
        <v>74</v>
      </c>
      <c r="BQ945" t="s">
        <v>74</v>
      </c>
      <c r="BR945" t="s">
        <v>100</v>
      </c>
      <c r="BS945" t="s">
        <v>14771</v>
      </c>
      <c r="BT945" t="str">
        <f>HYPERLINK("https%3A%2F%2Fwww.webofscience.com%2Fwos%2Fwoscc%2Ffull-record%2FWOS:000241382900006","View Full Record in Web of Science")</f>
        <v>View Full Record in Web of Science</v>
      </c>
    </row>
    <row r="946" spans="1:72" x14ac:dyDescent="0.15">
      <c r="A946" t="s">
        <v>72</v>
      </c>
      <c r="B946" t="s">
        <v>14772</v>
      </c>
      <c r="C946" t="s">
        <v>74</v>
      </c>
      <c r="D946" t="s">
        <v>74</v>
      </c>
      <c r="E946" t="s">
        <v>74</v>
      </c>
      <c r="F946" t="s">
        <v>14773</v>
      </c>
      <c r="G946" t="s">
        <v>74</v>
      </c>
      <c r="H946" t="s">
        <v>74</v>
      </c>
      <c r="I946" t="s">
        <v>14774</v>
      </c>
      <c r="J946" t="s">
        <v>5588</v>
      </c>
      <c r="K946" t="s">
        <v>74</v>
      </c>
      <c r="L946" t="s">
        <v>74</v>
      </c>
      <c r="M946" t="s">
        <v>78</v>
      </c>
      <c r="N946" t="s">
        <v>79</v>
      </c>
      <c r="O946" t="s">
        <v>74</v>
      </c>
      <c r="P946" t="s">
        <v>74</v>
      </c>
      <c r="Q946" t="s">
        <v>74</v>
      </c>
      <c r="R946" t="s">
        <v>74</v>
      </c>
      <c r="S946" t="s">
        <v>74</v>
      </c>
      <c r="T946" t="s">
        <v>74</v>
      </c>
      <c r="U946" t="s">
        <v>14775</v>
      </c>
      <c r="V946" t="s">
        <v>14776</v>
      </c>
      <c r="W946" t="s">
        <v>14777</v>
      </c>
      <c r="X946" t="s">
        <v>14778</v>
      </c>
      <c r="Y946" t="s">
        <v>14779</v>
      </c>
      <c r="Z946" t="s">
        <v>14780</v>
      </c>
      <c r="AA946" t="s">
        <v>74</v>
      </c>
      <c r="AB946" t="s">
        <v>74</v>
      </c>
      <c r="AC946" t="s">
        <v>74</v>
      </c>
      <c r="AD946" t="s">
        <v>74</v>
      </c>
      <c r="AE946" t="s">
        <v>74</v>
      </c>
      <c r="AF946" t="s">
        <v>74</v>
      </c>
      <c r="AG946">
        <v>37</v>
      </c>
      <c r="AH946">
        <v>2</v>
      </c>
      <c r="AI946">
        <v>2</v>
      </c>
      <c r="AJ946">
        <v>0</v>
      </c>
      <c r="AK946">
        <v>6</v>
      </c>
      <c r="AL946" t="s">
        <v>613</v>
      </c>
      <c r="AM946" t="s">
        <v>678</v>
      </c>
      <c r="AN946" t="s">
        <v>679</v>
      </c>
      <c r="AO946" t="s">
        <v>5597</v>
      </c>
      <c r="AP946" t="s">
        <v>5598</v>
      </c>
      <c r="AQ946" t="s">
        <v>74</v>
      </c>
      <c r="AR946" t="s">
        <v>5599</v>
      </c>
      <c r="AS946" t="s">
        <v>5600</v>
      </c>
      <c r="AT946" t="s">
        <v>13673</v>
      </c>
      <c r="AU946">
        <v>2006</v>
      </c>
      <c r="AV946">
        <v>29</v>
      </c>
      <c r="AW946">
        <v>10</v>
      </c>
      <c r="AX946" t="s">
        <v>74</v>
      </c>
      <c r="AY946" t="s">
        <v>74</v>
      </c>
      <c r="AZ946" t="s">
        <v>74</v>
      </c>
      <c r="BA946" t="s">
        <v>74</v>
      </c>
      <c r="BB946">
        <v>872</v>
      </c>
      <c r="BC946">
        <v>877</v>
      </c>
      <c r="BD946" t="s">
        <v>74</v>
      </c>
      <c r="BE946" t="s">
        <v>14781</v>
      </c>
      <c r="BF946" t="str">
        <f>HYPERLINK("http://dx.doi.org/10.1007/s00300-006-0126-5","http://dx.doi.org/10.1007/s00300-006-0126-5")</f>
        <v>http://dx.doi.org/10.1007/s00300-006-0126-5</v>
      </c>
      <c r="BG946" t="s">
        <v>74</v>
      </c>
      <c r="BH946" t="s">
        <v>74</v>
      </c>
      <c r="BI946">
        <v>6</v>
      </c>
      <c r="BJ946" t="s">
        <v>5602</v>
      </c>
      <c r="BK946" t="s">
        <v>97</v>
      </c>
      <c r="BL946" t="s">
        <v>5603</v>
      </c>
      <c r="BM946" t="s">
        <v>14737</v>
      </c>
      <c r="BN946" t="s">
        <v>74</v>
      </c>
      <c r="BO946" t="s">
        <v>74</v>
      </c>
      <c r="BP946" t="s">
        <v>74</v>
      </c>
      <c r="BQ946" t="s">
        <v>74</v>
      </c>
      <c r="BR946" t="s">
        <v>100</v>
      </c>
      <c r="BS946" t="s">
        <v>14782</v>
      </c>
      <c r="BT946" t="str">
        <f>HYPERLINK("https%3A%2F%2Fwww.webofscience.com%2Fwos%2Fwoscc%2Ffull-record%2FWOS:000241382900007","View Full Record in Web of Science")</f>
        <v>View Full Record in Web of Science</v>
      </c>
    </row>
    <row r="947" spans="1:72" x14ac:dyDescent="0.15">
      <c r="A947" t="s">
        <v>72</v>
      </c>
      <c r="B947" t="s">
        <v>14783</v>
      </c>
      <c r="C947" t="s">
        <v>74</v>
      </c>
      <c r="D947" t="s">
        <v>74</v>
      </c>
      <c r="E947" t="s">
        <v>74</v>
      </c>
      <c r="F947" t="s">
        <v>14784</v>
      </c>
      <c r="G947" t="s">
        <v>74</v>
      </c>
      <c r="H947" t="s">
        <v>74</v>
      </c>
      <c r="I947" t="s">
        <v>14785</v>
      </c>
      <c r="J947" t="s">
        <v>5588</v>
      </c>
      <c r="K947" t="s">
        <v>74</v>
      </c>
      <c r="L947" t="s">
        <v>74</v>
      </c>
      <c r="M947" t="s">
        <v>78</v>
      </c>
      <c r="N947" t="s">
        <v>79</v>
      </c>
      <c r="O947" t="s">
        <v>74</v>
      </c>
      <c r="P947" t="s">
        <v>74</v>
      </c>
      <c r="Q947" t="s">
        <v>74</v>
      </c>
      <c r="R947" t="s">
        <v>74</v>
      </c>
      <c r="S947" t="s">
        <v>74</v>
      </c>
      <c r="T947" t="s">
        <v>74</v>
      </c>
      <c r="U947" t="s">
        <v>14786</v>
      </c>
      <c r="V947" t="s">
        <v>14787</v>
      </c>
      <c r="W947" t="s">
        <v>4366</v>
      </c>
      <c r="X947" t="s">
        <v>4295</v>
      </c>
      <c r="Y947" t="s">
        <v>14788</v>
      </c>
      <c r="Z947" t="s">
        <v>14789</v>
      </c>
      <c r="AA947" t="s">
        <v>14790</v>
      </c>
      <c r="AB947" t="s">
        <v>14791</v>
      </c>
      <c r="AC947" t="s">
        <v>74</v>
      </c>
      <c r="AD947" t="s">
        <v>74</v>
      </c>
      <c r="AE947" t="s">
        <v>74</v>
      </c>
      <c r="AF947" t="s">
        <v>74</v>
      </c>
      <c r="AG947">
        <v>38</v>
      </c>
      <c r="AH947">
        <v>14</v>
      </c>
      <c r="AI947">
        <v>16</v>
      </c>
      <c r="AJ947">
        <v>0</v>
      </c>
      <c r="AK947">
        <v>27</v>
      </c>
      <c r="AL947" t="s">
        <v>613</v>
      </c>
      <c r="AM947" t="s">
        <v>678</v>
      </c>
      <c r="AN947" t="s">
        <v>4336</v>
      </c>
      <c r="AO947" t="s">
        <v>5597</v>
      </c>
      <c r="AP947" t="s">
        <v>74</v>
      </c>
      <c r="AQ947" t="s">
        <v>74</v>
      </c>
      <c r="AR947" t="s">
        <v>5599</v>
      </c>
      <c r="AS947" t="s">
        <v>5600</v>
      </c>
      <c r="AT947" t="s">
        <v>13673</v>
      </c>
      <c r="AU947">
        <v>2006</v>
      </c>
      <c r="AV947">
        <v>29</v>
      </c>
      <c r="AW947">
        <v>10</v>
      </c>
      <c r="AX947" t="s">
        <v>74</v>
      </c>
      <c r="AY947" t="s">
        <v>74</v>
      </c>
      <c r="AZ947" t="s">
        <v>74</v>
      </c>
      <c r="BA947" t="s">
        <v>74</v>
      </c>
      <c r="BB947">
        <v>878</v>
      </c>
      <c r="BC947">
        <v>892</v>
      </c>
      <c r="BD947" t="s">
        <v>74</v>
      </c>
      <c r="BE947" t="s">
        <v>14792</v>
      </c>
      <c r="BF947" t="str">
        <f>HYPERLINK("http://dx.doi.org/10.1007/s00300-006-0127-4","http://dx.doi.org/10.1007/s00300-006-0127-4")</f>
        <v>http://dx.doi.org/10.1007/s00300-006-0127-4</v>
      </c>
      <c r="BG947" t="s">
        <v>74</v>
      </c>
      <c r="BH947" t="s">
        <v>74</v>
      </c>
      <c r="BI947">
        <v>15</v>
      </c>
      <c r="BJ947" t="s">
        <v>5602</v>
      </c>
      <c r="BK947" t="s">
        <v>97</v>
      </c>
      <c r="BL947" t="s">
        <v>5603</v>
      </c>
      <c r="BM947" t="s">
        <v>14737</v>
      </c>
      <c r="BN947" t="s">
        <v>74</v>
      </c>
      <c r="BO947" t="s">
        <v>74</v>
      </c>
      <c r="BP947" t="s">
        <v>74</v>
      </c>
      <c r="BQ947" t="s">
        <v>74</v>
      </c>
      <c r="BR947" t="s">
        <v>100</v>
      </c>
      <c r="BS947" t="s">
        <v>14793</v>
      </c>
      <c r="BT947" t="str">
        <f>HYPERLINK("https%3A%2F%2Fwww.webofscience.com%2Fwos%2Fwoscc%2Ffull-record%2FWOS:000241382900008","View Full Record in Web of Science")</f>
        <v>View Full Record in Web of Science</v>
      </c>
    </row>
    <row r="948" spans="1:72" x14ac:dyDescent="0.15">
      <c r="A948" t="s">
        <v>72</v>
      </c>
      <c r="B948" t="s">
        <v>14794</v>
      </c>
      <c r="C948" t="s">
        <v>74</v>
      </c>
      <c r="D948" t="s">
        <v>74</v>
      </c>
      <c r="E948" t="s">
        <v>74</v>
      </c>
      <c r="F948" t="s">
        <v>14795</v>
      </c>
      <c r="G948" t="s">
        <v>74</v>
      </c>
      <c r="H948" t="s">
        <v>74</v>
      </c>
      <c r="I948" t="s">
        <v>14796</v>
      </c>
      <c r="J948" t="s">
        <v>5588</v>
      </c>
      <c r="K948" t="s">
        <v>74</v>
      </c>
      <c r="L948" t="s">
        <v>74</v>
      </c>
      <c r="M948" t="s">
        <v>78</v>
      </c>
      <c r="N948" t="s">
        <v>79</v>
      </c>
      <c r="O948" t="s">
        <v>74</v>
      </c>
      <c r="P948" t="s">
        <v>74</v>
      </c>
      <c r="Q948" t="s">
        <v>74</v>
      </c>
      <c r="R948" t="s">
        <v>74</v>
      </c>
      <c r="S948" t="s">
        <v>74</v>
      </c>
      <c r="T948" t="s">
        <v>14797</v>
      </c>
      <c r="U948" t="s">
        <v>14798</v>
      </c>
      <c r="V948" t="s">
        <v>14799</v>
      </c>
      <c r="W948" t="s">
        <v>14800</v>
      </c>
      <c r="X948" t="s">
        <v>14801</v>
      </c>
      <c r="Y948" t="s">
        <v>14802</v>
      </c>
      <c r="Z948" t="s">
        <v>14803</v>
      </c>
      <c r="AA948" t="s">
        <v>74</v>
      </c>
      <c r="AB948" t="s">
        <v>74</v>
      </c>
      <c r="AC948" t="s">
        <v>74</v>
      </c>
      <c r="AD948" t="s">
        <v>74</v>
      </c>
      <c r="AE948" t="s">
        <v>74</v>
      </c>
      <c r="AF948" t="s">
        <v>74</v>
      </c>
      <c r="AG948">
        <v>55</v>
      </c>
      <c r="AH948">
        <v>15</v>
      </c>
      <c r="AI948">
        <v>16</v>
      </c>
      <c r="AJ948">
        <v>1</v>
      </c>
      <c r="AK948">
        <v>6</v>
      </c>
      <c r="AL948" t="s">
        <v>613</v>
      </c>
      <c r="AM948" t="s">
        <v>678</v>
      </c>
      <c r="AN948" t="s">
        <v>679</v>
      </c>
      <c r="AO948" t="s">
        <v>5597</v>
      </c>
      <c r="AP948" t="s">
        <v>5598</v>
      </c>
      <c r="AQ948" t="s">
        <v>74</v>
      </c>
      <c r="AR948" t="s">
        <v>5599</v>
      </c>
      <c r="AS948" t="s">
        <v>5600</v>
      </c>
      <c r="AT948" t="s">
        <v>13673</v>
      </c>
      <c r="AU948">
        <v>2006</v>
      </c>
      <c r="AV948">
        <v>29</v>
      </c>
      <c r="AW948">
        <v>10</v>
      </c>
      <c r="AX948" t="s">
        <v>74</v>
      </c>
      <c r="AY948" t="s">
        <v>74</v>
      </c>
      <c r="AZ948" t="s">
        <v>74</v>
      </c>
      <c r="BA948" t="s">
        <v>74</v>
      </c>
      <c r="BB948">
        <v>893</v>
      </c>
      <c r="BC948">
        <v>901</v>
      </c>
      <c r="BD948" t="s">
        <v>74</v>
      </c>
      <c r="BE948" t="s">
        <v>14804</v>
      </c>
      <c r="BF948" t="str">
        <f>HYPERLINK("http://dx.doi.org/10.1007/s00300-006-0129-2","http://dx.doi.org/10.1007/s00300-006-0129-2")</f>
        <v>http://dx.doi.org/10.1007/s00300-006-0129-2</v>
      </c>
      <c r="BG948" t="s">
        <v>74</v>
      </c>
      <c r="BH948" t="s">
        <v>74</v>
      </c>
      <c r="BI948">
        <v>9</v>
      </c>
      <c r="BJ948" t="s">
        <v>5602</v>
      </c>
      <c r="BK948" t="s">
        <v>97</v>
      </c>
      <c r="BL948" t="s">
        <v>5603</v>
      </c>
      <c r="BM948" t="s">
        <v>14737</v>
      </c>
      <c r="BN948" t="s">
        <v>74</v>
      </c>
      <c r="BO948" t="s">
        <v>74</v>
      </c>
      <c r="BP948" t="s">
        <v>74</v>
      </c>
      <c r="BQ948" t="s">
        <v>74</v>
      </c>
      <c r="BR948" t="s">
        <v>100</v>
      </c>
      <c r="BS948" t="s">
        <v>14805</v>
      </c>
      <c r="BT948" t="str">
        <f>HYPERLINK("https%3A%2F%2Fwww.webofscience.com%2Fwos%2Fwoscc%2Ffull-record%2FWOS:000241382900009","View Full Record in Web of Science")</f>
        <v>View Full Record in Web of Science</v>
      </c>
    </row>
    <row r="949" spans="1:72" x14ac:dyDescent="0.15">
      <c r="A949" t="s">
        <v>72</v>
      </c>
      <c r="B949" t="s">
        <v>14806</v>
      </c>
      <c r="C949" t="s">
        <v>74</v>
      </c>
      <c r="D949" t="s">
        <v>74</v>
      </c>
      <c r="E949" t="s">
        <v>74</v>
      </c>
      <c r="F949" t="s">
        <v>14807</v>
      </c>
      <c r="G949" t="s">
        <v>74</v>
      </c>
      <c r="H949" t="s">
        <v>74</v>
      </c>
      <c r="I949" t="s">
        <v>14808</v>
      </c>
      <c r="J949" t="s">
        <v>5588</v>
      </c>
      <c r="K949" t="s">
        <v>74</v>
      </c>
      <c r="L949" t="s">
        <v>74</v>
      </c>
      <c r="M949" t="s">
        <v>78</v>
      </c>
      <c r="N949" t="s">
        <v>79</v>
      </c>
      <c r="O949" t="s">
        <v>74</v>
      </c>
      <c r="P949" t="s">
        <v>74</v>
      </c>
      <c r="Q949" t="s">
        <v>74</v>
      </c>
      <c r="R949" t="s">
        <v>74</v>
      </c>
      <c r="S949" t="s">
        <v>74</v>
      </c>
      <c r="T949" t="s">
        <v>74</v>
      </c>
      <c r="U949" t="s">
        <v>14809</v>
      </c>
      <c r="V949" t="s">
        <v>14810</v>
      </c>
      <c r="W949" t="s">
        <v>14811</v>
      </c>
      <c r="X949" t="s">
        <v>14812</v>
      </c>
      <c r="Y949" t="s">
        <v>14813</v>
      </c>
      <c r="Z949" t="s">
        <v>14814</v>
      </c>
      <c r="AA949" t="s">
        <v>14815</v>
      </c>
      <c r="AB949" t="s">
        <v>14816</v>
      </c>
      <c r="AC949" t="s">
        <v>74</v>
      </c>
      <c r="AD949" t="s">
        <v>74</v>
      </c>
      <c r="AE949" t="s">
        <v>74</v>
      </c>
      <c r="AF949" t="s">
        <v>74</v>
      </c>
      <c r="AG949">
        <v>16</v>
      </c>
      <c r="AH949">
        <v>13</v>
      </c>
      <c r="AI949">
        <v>15</v>
      </c>
      <c r="AJ949">
        <v>0</v>
      </c>
      <c r="AK949">
        <v>11</v>
      </c>
      <c r="AL949" t="s">
        <v>613</v>
      </c>
      <c r="AM949" t="s">
        <v>678</v>
      </c>
      <c r="AN949" t="s">
        <v>4336</v>
      </c>
      <c r="AO949" t="s">
        <v>5597</v>
      </c>
      <c r="AP949" t="s">
        <v>74</v>
      </c>
      <c r="AQ949" t="s">
        <v>74</v>
      </c>
      <c r="AR949" t="s">
        <v>5599</v>
      </c>
      <c r="AS949" t="s">
        <v>5600</v>
      </c>
      <c r="AT949" t="s">
        <v>13673</v>
      </c>
      <c r="AU949">
        <v>2006</v>
      </c>
      <c r="AV949">
        <v>29</v>
      </c>
      <c r="AW949">
        <v>10</v>
      </c>
      <c r="AX949" t="s">
        <v>74</v>
      </c>
      <c r="AY949" t="s">
        <v>74</v>
      </c>
      <c r="AZ949" t="s">
        <v>74</v>
      </c>
      <c r="BA949" t="s">
        <v>74</v>
      </c>
      <c r="BB949">
        <v>905</v>
      </c>
      <c r="BC949">
        <v>908</v>
      </c>
      <c r="BD949" t="s">
        <v>74</v>
      </c>
      <c r="BE949" t="s">
        <v>14817</v>
      </c>
      <c r="BF949" t="str">
        <f>HYPERLINK("http://dx.doi.org/10.1007/s00300-006-0187-5","http://dx.doi.org/10.1007/s00300-006-0187-5")</f>
        <v>http://dx.doi.org/10.1007/s00300-006-0187-5</v>
      </c>
      <c r="BG949" t="s">
        <v>74</v>
      </c>
      <c r="BH949" t="s">
        <v>74</v>
      </c>
      <c r="BI949">
        <v>4</v>
      </c>
      <c r="BJ949" t="s">
        <v>5602</v>
      </c>
      <c r="BK949" t="s">
        <v>97</v>
      </c>
      <c r="BL949" t="s">
        <v>5603</v>
      </c>
      <c r="BM949" t="s">
        <v>14737</v>
      </c>
      <c r="BN949" t="s">
        <v>74</v>
      </c>
      <c r="BO949" t="s">
        <v>74</v>
      </c>
      <c r="BP949" t="s">
        <v>74</v>
      </c>
      <c r="BQ949" t="s">
        <v>74</v>
      </c>
      <c r="BR949" t="s">
        <v>100</v>
      </c>
      <c r="BS949" t="s">
        <v>14818</v>
      </c>
      <c r="BT949" t="str">
        <f>HYPERLINK("https%3A%2F%2Fwww.webofscience.com%2Fwos%2Fwoscc%2Ffull-record%2FWOS:000241382900011","View Full Record in Web of Science")</f>
        <v>View Full Record in Web of Science</v>
      </c>
    </row>
    <row r="950" spans="1:72" x14ac:dyDescent="0.15">
      <c r="A950" t="s">
        <v>72</v>
      </c>
      <c r="B950" t="s">
        <v>14819</v>
      </c>
      <c r="C950" t="s">
        <v>74</v>
      </c>
      <c r="D950" t="s">
        <v>74</v>
      </c>
      <c r="E950" t="s">
        <v>74</v>
      </c>
      <c r="F950" t="s">
        <v>14820</v>
      </c>
      <c r="G950" t="s">
        <v>74</v>
      </c>
      <c r="H950" t="s">
        <v>74</v>
      </c>
      <c r="I950" t="s">
        <v>14821</v>
      </c>
      <c r="J950" t="s">
        <v>14822</v>
      </c>
      <c r="K950" t="s">
        <v>74</v>
      </c>
      <c r="L950" t="s">
        <v>74</v>
      </c>
      <c r="M950" t="s">
        <v>78</v>
      </c>
      <c r="N950" t="s">
        <v>79</v>
      </c>
      <c r="O950" t="s">
        <v>74</v>
      </c>
      <c r="P950" t="s">
        <v>74</v>
      </c>
      <c r="Q950" t="s">
        <v>74</v>
      </c>
      <c r="R950" t="s">
        <v>74</v>
      </c>
      <c r="S950" t="s">
        <v>74</v>
      </c>
      <c r="T950" t="s">
        <v>74</v>
      </c>
      <c r="U950" t="s">
        <v>14823</v>
      </c>
      <c r="V950" t="s">
        <v>14824</v>
      </c>
      <c r="W950" t="s">
        <v>14825</v>
      </c>
      <c r="X950" t="s">
        <v>14826</v>
      </c>
      <c r="Y950" t="s">
        <v>14827</v>
      </c>
      <c r="Z950" t="s">
        <v>14828</v>
      </c>
      <c r="AA950" t="s">
        <v>14829</v>
      </c>
      <c r="AB950" t="s">
        <v>14830</v>
      </c>
      <c r="AC950" t="s">
        <v>74</v>
      </c>
      <c r="AD950" t="s">
        <v>74</v>
      </c>
      <c r="AE950" t="s">
        <v>74</v>
      </c>
      <c r="AF950" t="s">
        <v>74</v>
      </c>
      <c r="AG950">
        <v>63</v>
      </c>
      <c r="AH950">
        <v>51</v>
      </c>
      <c r="AI950">
        <v>56</v>
      </c>
      <c r="AJ950">
        <v>0</v>
      </c>
      <c r="AK950">
        <v>19</v>
      </c>
      <c r="AL950" t="s">
        <v>10638</v>
      </c>
      <c r="AM950" t="s">
        <v>6911</v>
      </c>
      <c r="AN950" t="s">
        <v>10639</v>
      </c>
      <c r="AO950" t="s">
        <v>14831</v>
      </c>
      <c r="AP950" t="s">
        <v>74</v>
      </c>
      <c r="AQ950" t="s">
        <v>74</v>
      </c>
      <c r="AR950" t="s">
        <v>14832</v>
      </c>
      <c r="AS950" t="s">
        <v>14833</v>
      </c>
      <c r="AT950" t="s">
        <v>13673</v>
      </c>
      <c r="AU950">
        <v>2006</v>
      </c>
      <c r="AV950">
        <v>66</v>
      </c>
      <c r="AW950">
        <v>2</v>
      </c>
      <c r="AX950" t="s">
        <v>74</v>
      </c>
      <c r="AY950" t="s">
        <v>74</v>
      </c>
      <c r="AZ950" t="s">
        <v>74</v>
      </c>
      <c r="BA950" t="s">
        <v>74</v>
      </c>
      <c r="BB950">
        <v>259</v>
      </c>
      <c r="BC950">
        <v>272</v>
      </c>
      <c r="BD950" t="s">
        <v>74</v>
      </c>
      <c r="BE950" t="s">
        <v>14834</v>
      </c>
      <c r="BF950" t="str">
        <f>HYPERLINK("http://dx.doi.org/10.1016/j.yqres.2006.06.007","http://dx.doi.org/10.1016/j.yqres.2006.06.007")</f>
        <v>http://dx.doi.org/10.1016/j.yqres.2006.06.007</v>
      </c>
      <c r="BG950" t="s">
        <v>74</v>
      </c>
      <c r="BH950" t="s">
        <v>74</v>
      </c>
      <c r="BI950">
        <v>14</v>
      </c>
      <c r="BJ950" t="s">
        <v>663</v>
      </c>
      <c r="BK950" t="s">
        <v>97</v>
      </c>
      <c r="BL950" t="s">
        <v>664</v>
      </c>
      <c r="BM950" t="s">
        <v>14835</v>
      </c>
      <c r="BN950" t="s">
        <v>74</v>
      </c>
      <c r="BO950" t="s">
        <v>3355</v>
      </c>
      <c r="BP950" t="s">
        <v>74</v>
      </c>
      <c r="BQ950" t="s">
        <v>74</v>
      </c>
      <c r="BR950" t="s">
        <v>100</v>
      </c>
      <c r="BS950" t="s">
        <v>14836</v>
      </c>
      <c r="BT950" t="str">
        <f>HYPERLINK("https%3A%2F%2Fwww.webofscience.com%2Fwos%2Fwoscc%2Ffull-record%2FWOS:000241874000006","View Full Record in Web of Science")</f>
        <v>View Full Record in Web of Science</v>
      </c>
    </row>
    <row r="951" spans="1:72" x14ac:dyDescent="0.15">
      <c r="A951" t="s">
        <v>72</v>
      </c>
      <c r="B951" t="s">
        <v>14837</v>
      </c>
      <c r="C951" t="s">
        <v>74</v>
      </c>
      <c r="D951" t="s">
        <v>74</v>
      </c>
      <c r="E951" t="s">
        <v>74</v>
      </c>
      <c r="F951" t="s">
        <v>14838</v>
      </c>
      <c r="G951" t="s">
        <v>74</v>
      </c>
      <c r="H951" t="s">
        <v>74</v>
      </c>
      <c r="I951" t="s">
        <v>14839</v>
      </c>
      <c r="J951" t="s">
        <v>6317</v>
      </c>
      <c r="K951" t="s">
        <v>74</v>
      </c>
      <c r="L951" t="s">
        <v>74</v>
      </c>
      <c r="M951" t="s">
        <v>78</v>
      </c>
      <c r="N951" t="s">
        <v>79</v>
      </c>
      <c r="O951" t="s">
        <v>74</v>
      </c>
      <c r="P951" t="s">
        <v>74</v>
      </c>
      <c r="Q951" t="s">
        <v>74</v>
      </c>
      <c r="R951" t="s">
        <v>74</v>
      </c>
      <c r="S951" t="s">
        <v>74</v>
      </c>
      <c r="T951" t="s">
        <v>74</v>
      </c>
      <c r="U951" t="s">
        <v>14840</v>
      </c>
      <c r="V951" t="s">
        <v>14841</v>
      </c>
      <c r="W951" t="s">
        <v>14842</v>
      </c>
      <c r="X951" t="s">
        <v>14843</v>
      </c>
      <c r="Y951" t="s">
        <v>14844</v>
      </c>
      <c r="Z951" t="s">
        <v>14845</v>
      </c>
      <c r="AA951" t="s">
        <v>14846</v>
      </c>
      <c r="AB951" t="s">
        <v>74</v>
      </c>
      <c r="AC951" t="s">
        <v>74</v>
      </c>
      <c r="AD951" t="s">
        <v>74</v>
      </c>
      <c r="AE951" t="s">
        <v>74</v>
      </c>
      <c r="AF951" t="s">
        <v>74</v>
      </c>
      <c r="AG951">
        <v>71</v>
      </c>
      <c r="AH951">
        <v>151</v>
      </c>
      <c r="AI951">
        <v>179</v>
      </c>
      <c r="AJ951">
        <v>0</v>
      </c>
      <c r="AK951">
        <v>23</v>
      </c>
      <c r="AL951" t="s">
        <v>817</v>
      </c>
      <c r="AM951" t="s">
        <v>818</v>
      </c>
      <c r="AN951" t="s">
        <v>819</v>
      </c>
      <c r="AO951" t="s">
        <v>6326</v>
      </c>
      <c r="AP951" t="s">
        <v>74</v>
      </c>
      <c r="AQ951" t="s">
        <v>74</v>
      </c>
      <c r="AR951" t="s">
        <v>6327</v>
      </c>
      <c r="AS951" t="s">
        <v>6328</v>
      </c>
      <c r="AT951" t="s">
        <v>13673</v>
      </c>
      <c r="AU951">
        <v>2006</v>
      </c>
      <c r="AV951">
        <v>25</v>
      </c>
      <c r="AW951" t="s">
        <v>14847</v>
      </c>
      <c r="AX951" t="s">
        <v>74</v>
      </c>
      <c r="AY951" t="s">
        <v>74</v>
      </c>
      <c r="AZ951" t="s">
        <v>74</v>
      </c>
      <c r="BA951" t="s">
        <v>74</v>
      </c>
      <c r="BB951">
        <v>2177</v>
      </c>
      <c r="BC951">
        <v>2196</v>
      </c>
      <c r="BD951" t="s">
        <v>74</v>
      </c>
      <c r="BE951" t="s">
        <v>14848</v>
      </c>
      <c r="BF951" t="str">
        <f>HYPERLINK("http://dx.doi.org/10.1016/j.quascirev.2005.12.013","http://dx.doi.org/10.1016/j.quascirev.2005.12.013")</f>
        <v>http://dx.doi.org/10.1016/j.quascirev.2005.12.013</v>
      </c>
      <c r="BG951" t="s">
        <v>74</v>
      </c>
      <c r="BH951" t="s">
        <v>74</v>
      </c>
      <c r="BI951">
        <v>20</v>
      </c>
      <c r="BJ951" t="s">
        <v>663</v>
      </c>
      <c r="BK951" t="s">
        <v>97</v>
      </c>
      <c r="BL951" t="s">
        <v>664</v>
      </c>
      <c r="BM951" t="s">
        <v>14849</v>
      </c>
      <c r="BN951" t="s">
        <v>74</v>
      </c>
      <c r="BO951" t="s">
        <v>74</v>
      </c>
      <c r="BP951" t="s">
        <v>74</v>
      </c>
      <c r="BQ951" t="s">
        <v>74</v>
      </c>
      <c r="BR951" t="s">
        <v>100</v>
      </c>
      <c r="BS951" t="s">
        <v>14850</v>
      </c>
      <c r="BT951" t="str">
        <f>HYPERLINK("https%3A%2F%2Fwww.webofscience.com%2Fwos%2Fwoscc%2Ffull-record%2FWOS:000240819000010","View Full Record in Web of Science")</f>
        <v>View Full Record in Web of Science</v>
      </c>
    </row>
    <row r="952" spans="1:72" x14ac:dyDescent="0.15">
      <c r="A952" t="s">
        <v>72</v>
      </c>
      <c r="B952" t="s">
        <v>14851</v>
      </c>
      <c r="C952" t="s">
        <v>74</v>
      </c>
      <c r="D952" t="s">
        <v>74</v>
      </c>
      <c r="E952" t="s">
        <v>74</v>
      </c>
      <c r="F952" t="s">
        <v>14852</v>
      </c>
      <c r="G952" t="s">
        <v>74</v>
      </c>
      <c r="H952" t="s">
        <v>74</v>
      </c>
      <c r="I952" t="s">
        <v>14853</v>
      </c>
      <c r="J952" t="s">
        <v>6317</v>
      </c>
      <c r="K952" t="s">
        <v>74</v>
      </c>
      <c r="L952" t="s">
        <v>74</v>
      </c>
      <c r="M952" t="s">
        <v>78</v>
      </c>
      <c r="N952" t="s">
        <v>79</v>
      </c>
      <c r="O952" t="s">
        <v>74</v>
      </c>
      <c r="P952" t="s">
        <v>74</v>
      </c>
      <c r="Q952" t="s">
        <v>74</v>
      </c>
      <c r="R952" t="s">
        <v>74</v>
      </c>
      <c r="S952" t="s">
        <v>74</v>
      </c>
      <c r="T952" t="s">
        <v>74</v>
      </c>
      <c r="U952" t="s">
        <v>14854</v>
      </c>
      <c r="V952" t="s">
        <v>14855</v>
      </c>
      <c r="W952" t="s">
        <v>14856</v>
      </c>
      <c r="X952" t="s">
        <v>14857</v>
      </c>
      <c r="Y952" t="s">
        <v>14858</v>
      </c>
      <c r="Z952" t="s">
        <v>14859</v>
      </c>
      <c r="AA952" t="s">
        <v>14860</v>
      </c>
      <c r="AB952" t="s">
        <v>14861</v>
      </c>
      <c r="AC952" t="s">
        <v>3742</v>
      </c>
      <c r="AD952" t="s">
        <v>1254</v>
      </c>
      <c r="AE952" t="s">
        <v>74</v>
      </c>
      <c r="AF952" t="s">
        <v>74</v>
      </c>
      <c r="AG952">
        <v>99</v>
      </c>
      <c r="AH952">
        <v>77</v>
      </c>
      <c r="AI952">
        <v>87</v>
      </c>
      <c r="AJ952">
        <v>0</v>
      </c>
      <c r="AK952">
        <v>14</v>
      </c>
      <c r="AL952" t="s">
        <v>817</v>
      </c>
      <c r="AM952" t="s">
        <v>818</v>
      </c>
      <c r="AN952" t="s">
        <v>819</v>
      </c>
      <c r="AO952" t="s">
        <v>6326</v>
      </c>
      <c r="AP952" t="s">
        <v>74</v>
      </c>
      <c r="AQ952" t="s">
        <v>74</v>
      </c>
      <c r="AR952" t="s">
        <v>6327</v>
      </c>
      <c r="AS952" t="s">
        <v>6328</v>
      </c>
      <c r="AT952" t="s">
        <v>13673</v>
      </c>
      <c r="AU952">
        <v>2006</v>
      </c>
      <c r="AV952">
        <v>25</v>
      </c>
      <c r="AW952" t="s">
        <v>14847</v>
      </c>
      <c r="AX952" t="s">
        <v>74</v>
      </c>
      <c r="AY952" t="s">
        <v>74</v>
      </c>
      <c r="AZ952" t="s">
        <v>74</v>
      </c>
      <c r="BA952" t="s">
        <v>74</v>
      </c>
      <c r="BB952">
        <v>2357</v>
      </c>
      <c r="BC952">
        <v>2379</v>
      </c>
      <c r="BD952" t="s">
        <v>74</v>
      </c>
      <c r="BE952" t="s">
        <v>14862</v>
      </c>
      <c r="BF952" t="str">
        <f>HYPERLINK("http://dx.doi.org/10.1016/j.quascirev.2006.01.029","http://dx.doi.org/10.1016/j.quascirev.2006.01.029")</f>
        <v>http://dx.doi.org/10.1016/j.quascirev.2006.01.029</v>
      </c>
      <c r="BG952" t="s">
        <v>74</v>
      </c>
      <c r="BH952" t="s">
        <v>74</v>
      </c>
      <c r="BI952">
        <v>23</v>
      </c>
      <c r="BJ952" t="s">
        <v>663</v>
      </c>
      <c r="BK952" t="s">
        <v>97</v>
      </c>
      <c r="BL952" t="s">
        <v>664</v>
      </c>
      <c r="BM952" t="s">
        <v>14849</v>
      </c>
      <c r="BN952" t="s">
        <v>74</v>
      </c>
      <c r="BO952" t="s">
        <v>74</v>
      </c>
      <c r="BP952" t="s">
        <v>74</v>
      </c>
      <c r="BQ952" t="s">
        <v>74</v>
      </c>
      <c r="BR952" t="s">
        <v>100</v>
      </c>
      <c r="BS952" t="s">
        <v>14863</v>
      </c>
      <c r="BT952" t="str">
        <f>HYPERLINK("https%3A%2F%2Fwww.webofscience.com%2Fwos%2Fwoscc%2Ffull-record%2FWOS:000240819000021","View Full Record in Web of Science")</f>
        <v>View Full Record in Web of Science</v>
      </c>
    </row>
    <row r="953" spans="1:72" x14ac:dyDescent="0.15">
      <c r="A953" t="s">
        <v>72</v>
      </c>
      <c r="B953" t="s">
        <v>14864</v>
      </c>
      <c r="C953" t="s">
        <v>74</v>
      </c>
      <c r="D953" t="s">
        <v>74</v>
      </c>
      <c r="E953" t="s">
        <v>74</v>
      </c>
      <c r="F953" t="s">
        <v>14865</v>
      </c>
      <c r="G953" t="s">
        <v>74</v>
      </c>
      <c r="H953" t="s">
        <v>74</v>
      </c>
      <c r="I953" t="s">
        <v>14866</v>
      </c>
      <c r="J953" t="s">
        <v>6652</v>
      </c>
      <c r="K953" t="s">
        <v>74</v>
      </c>
      <c r="L953" t="s">
        <v>74</v>
      </c>
      <c r="M953" t="s">
        <v>78</v>
      </c>
      <c r="N953" t="s">
        <v>176</v>
      </c>
      <c r="O953" t="s">
        <v>14867</v>
      </c>
      <c r="P953" t="s">
        <v>14868</v>
      </c>
      <c r="Q953" t="s">
        <v>14869</v>
      </c>
      <c r="R953" t="s">
        <v>74</v>
      </c>
      <c r="S953" t="s">
        <v>74</v>
      </c>
      <c r="T953" t="s">
        <v>14870</v>
      </c>
      <c r="U953" t="s">
        <v>14871</v>
      </c>
      <c r="V953" t="s">
        <v>14872</v>
      </c>
      <c r="W953" t="s">
        <v>14873</v>
      </c>
      <c r="X953" t="s">
        <v>14874</v>
      </c>
      <c r="Y953" t="s">
        <v>9503</v>
      </c>
      <c r="Z953" t="s">
        <v>9504</v>
      </c>
      <c r="AA953" t="s">
        <v>9505</v>
      </c>
      <c r="AB953" t="s">
        <v>74</v>
      </c>
      <c r="AC953" t="s">
        <v>74</v>
      </c>
      <c r="AD953" t="s">
        <v>74</v>
      </c>
      <c r="AE953" t="s">
        <v>74</v>
      </c>
      <c r="AF953" t="s">
        <v>74</v>
      </c>
      <c r="AG953">
        <v>77</v>
      </c>
      <c r="AH953">
        <v>53</v>
      </c>
      <c r="AI953">
        <v>67</v>
      </c>
      <c r="AJ953">
        <v>4</v>
      </c>
      <c r="AK953">
        <v>71</v>
      </c>
      <c r="AL953" t="s">
        <v>902</v>
      </c>
      <c r="AM953" t="s">
        <v>903</v>
      </c>
      <c r="AN953" t="s">
        <v>5098</v>
      </c>
      <c r="AO953" t="s">
        <v>6660</v>
      </c>
      <c r="AP953" t="s">
        <v>6661</v>
      </c>
      <c r="AQ953" t="s">
        <v>74</v>
      </c>
      <c r="AR953" t="s">
        <v>6662</v>
      </c>
      <c r="AS953" t="s">
        <v>6663</v>
      </c>
      <c r="AT953" t="s">
        <v>13999</v>
      </c>
      <c r="AU953">
        <v>2006</v>
      </c>
      <c r="AV953">
        <v>368</v>
      </c>
      <c r="AW953">
        <v>1</v>
      </c>
      <c r="AX953" t="s">
        <v>74</v>
      </c>
      <c r="AY953" t="s">
        <v>74</v>
      </c>
      <c r="AZ953" t="s">
        <v>3394</v>
      </c>
      <c r="BA953" t="s">
        <v>74</v>
      </c>
      <c r="BB953">
        <v>236</v>
      </c>
      <c r="BC953">
        <v>247</v>
      </c>
      <c r="BD953" t="s">
        <v>74</v>
      </c>
      <c r="BE953" t="s">
        <v>14875</v>
      </c>
      <c r="BF953" t="str">
        <f>HYPERLINK("http://dx.doi.org/10.1016/j.scitotenv.2005.09.092","http://dx.doi.org/10.1016/j.scitotenv.2005.09.092")</f>
        <v>http://dx.doi.org/10.1016/j.scitotenv.2005.09.092</v>
      </c>
      <c r="BG953" t="s">
        <v>74</v>
      </c>
      <c r="BH953" t="s">
        <v>74</v>
      </c>
      <c r="BI953">
        <v>12</v>
      </c>
      <c r="BJ953" t="s">
        <v>237</v>
      </c>
      <c r="BK953" t="s">
        <v>14876</v>
      </c>
      <c r="BL953" t="s">
        <v>226</v>
      </c>
      <c r="BM953" t="s">
        <v>14877</v>
      </c>
      <c r="BN953">
        <v>16297967</v>
      </c>
      <c r="BO953" t="s">
        <v>74</v>
      </c>
      <c r="BP953" t="s">
        <v>74</v>
      </c>
      <c r="BQ953" t="s">
        <v>74</v>
      </c>
      <c r="BR953" t="s">
        <v>100</v>
      </c>
      <c r="BS953" t="s">
        <v>14878</v>
      </c>
      <c r="BT953" t="str">
        <f>HYPERLINK("https%3A%2F%2Fwww.webofscience.com%2Fwos%2Fwoscc%2Ffull-record%2FWOS:000240179900023","View Full Record in Web of Science")</f>
        <v>View Full Record in Web of Science</v>
      </c>
    </row>
    <row r="954" spans="1:72" x14ac:dyDescent="0.15">
      <c r="A954" t="s">
        <v>72</v>
      </c>
      <c r="B954" t="s">
        <v>14879</v>
      </c>
      <c r="C954" t="s">
        <v>74</v>
      </c>
      <c r="D954" t="s">
        <v>74</v>
      </c>
      <c r="E954" t="s">
        <v>74</v>
      </c>
      <c r="F954" t="s">
        <v>14880</v>
      </c>
      <c r="G954" t="s">
        <v>74</v>
      </c>
      <c r="H954" t="s">
        <v>74</v>
      </c>
      <c r="I954" t="s">
        <v>14881</v>
      </c>
      <c r="J954" t="s">
        <v>14882</v>
      </c>
      <c r="K954" t="s">
        <v>74</v>
      </c>
      <c r="L954" t="s">
        <v>74</v>
      </c>
      <c r="M954" t="s">
        <v>78</v>
      </c>
      <c r="N954" t="s">
        <v>79</v>
      </c>
      <c r="O954" t="s">
        <v>74</v>
      </c>
      <c r="P954" t="s">
        <v>74</v>
      </c>
      <c r="Q954" t="s">
        <v>74</v>
      </c>
      <c r="R954" t="s">
        <v>74</v>
      </c>
      <c r="S954" t="s">
        <v>74</v>
      </c>
      <c r="T954" t="s">
        <v>74</v>
      </c>
      <c r="U954" t="s">
        <v>74</v>
      </c>
      <c r="V954" t="s">
        <v>74</v>
      </c>
      <c r="W954" t="s">
        <v>14883</v>
      </c>
      <c r="X954" t="s">
        <v>14884</v>
      </c>
      <c r="Y954" t="s">
        <v>14885</v>
      </c>
      <c r="Z954" t="s">
        <v>14886</v>
      </c>
      <c r="AA954" t="s">
        <v>14887</v>
      </c>
      <c r="AB954" t="s">
        <v>14888</v>
      </c>
      <c r="AC954" t="s">
        <v>14889</v>
      </c>
      <c r="AD954" t="s">
        <v>14890</v>
      </c>
      <c r="AE954" t="s">
        <v>14891</v>
      </c>
      <c r="AF954" t="s">
        <v>74</v>
      </c>
      <c r="AG954">
        <v>0</v>
      </c>
      <c r="AH954">
        <v>10</v>
      </c>
      <c r="AI954">
        <v>11</v>
      </c>
      <c r="AJ954">
        <v>1</v>
      </c>
      <c r="AK954">
        <v>2</v>
      </c>
      <c r="AL954" t="s">
        <v>351</v>
      </c>
      <c r="AM954" t="s">
        <v>352</v>
      </c>
      <c r="AN954" t="s">
        <v>353</v>
      </c>
      <c r="AO954" t="s">
        <v>14892</v>
      </c>
      <c r="AP954" t="s">
        <v>14893</v>
      </c>
      <c r="AQ954" t="s">
        <v>74</v>
      </c>
      <c r="AR954" t="s">
        <v>14894</v>
      </c>
      <c r="AS954" t="s">
        <v>14895</v>
      </c>
      <c r="AT954" t="s">
        <v>13673</v>
      </c>
      <c r="AU954">
        <v>2006</v>
      </c>
      <c r="AV954">
        <v>3</v>
      </c>
      <c r="AW954" t="s">
        <v>74</v>
      </c>
      <c r="AX954" t="s">
        <v>74</v>
      </c>
      <c r="AY954" t="s">
        <v>74</v>
      </c>
      <c r="AZ954" t="s">
        <v>74</v>
      </c>
      <c r="BA954" t="s">
        <v>74</v>
      </c>
      <c r="BB954">
        <v>43</v>
      </c>
      <c r="BC954">
        <v>45</v>
      </c>
      <c r="BD954" t="s">
        <v>74</v>
      </c>
      <c r="BE954" t="s">
        <v>14896</v>
      </c>
      <c r="BF954" t="str">
        <f>HYPERLINK("http://dx.doi.org/10.5194/sd-3-43-2006","http://dx.doi.org/10.5194/sd-3-43-2006")</f>
        <v>http://dx.doi.org/10.5194/sd-3-43-2006</v>
      </c>
      <c r="BG954" t="s">
        <v>74</v>
      </c>
      <c r="BH954" t="s">
        <v>74</v>
      </c>
      <c r="BI954">
        <v>3</v>
      </c>
      <c r="BJ954" t="s">
        <v>685</v>
      </c>
      <c r="BK954" t="s">
        <v>643</v>
      </c>
      <c r="BL954" t="s">
        <v>642</v>
      </c>
      <c r="BM954" t="s">
        <v>14897</v>
      </c>
      <c r="BN954" t="s">
        <v>74</v>
      </c>
      <c r="BO954" t="s">
        <v>337</v>
      </c>
      <c r="BP954" t="s">
        <v>74</v>
      </c>
      <c r="BQ954" t="s">
        <v>74</v>
      </c>
      <c r="BR954" t="s">
        <v>100</v>
      </c>
      <c r="BS954" t="s">
        <v>14898</v>
      </c>
      <c r="BT954" t="str">
        <f>HYPERLINK("https%3A%2F%2Fwww.webofscience.com%2Fwos%2Fwoscc%2Ffull-record%2FWOS:000212881300010","View Full Record in Web of Science")</f>
        <v>View Full Record in Web of Science</v>
      </c>
    </row>
    <row r="955" spans="1:72" x14ac:dyDescent="0.15">
      <c r="A955" t="s">
        <v>72</v>
      </c>
      <c r="B955" t="s">
        <v>9129</v>
      </c>
      <c r="C955" t="s">
        <v>74</v>
      </c>
      <c r="D955" t="s">
        <v>74</v>
      </c>
      <c r="E955" t="s">
        <v>74</v>
      </c>
      <c r="F955" t="s">
        <v>9129</v>
      </c>
      <c r="G955" t="s">
        <v>74</v>
      </c>
      <c r="H955" t="s">
        <v>74</v>
      </c>
      <c r="I955" t="s">
        <v>14899</v>
      </c>
      <c r="J955" t="s">
        <v>14882</v>
      </c>
      <c r="K955" t="s">
        <v>74</v>
      </c>
      <c r="L955" t="s">
        <v>74</v>
      </c>
      <c r="M955" t="s">
        <v>78</v>
      </c>
      <c r="N955" t="s">
        <v>1431</v>
      </c>
      <c r="O955" t="s">
        <v>74</v>
      </c>
      <c r="P955" t="s">
        <v>74</v>
      </c>
      <c r="Q955" t="s">
        <v>74</v>
      </c>
      <c r="R955" t="s">
        <v>74</v>
      </c>
      <c r="S955" t="s">
        <v>74</v>
      </c>
      <c r="T955" t="s">
        <v>74</v>
      </c>
      <c r="U955" t="s">
        <v>74</v>
      </c>
      <c r="V955" t="s">
        <v>74</v>
      </c>
      <c r="W955" t="s">
        <v>74</v>
      </c>
      <c r="X955" t="s">
        <v>74</v>
      </c>
      <c r="Y955" t="s">
        <v>74</v>
      </c>
      <c r="Z955" t="s">
        <v>74</v>
      </c>
      <c r="AA955" t="s">
        <v>74</v>
      </c>
      <c r="AB955" t="s">
        <v>74</v>
      </c>
      <c r="AC955" t="s">
        <v>74</v>
      </c>
      <c r="AD955" t="s">
        <v>74</v>
      </c>
      <c r="AE955" t="s">
        <v>74</v>
      </c>
      <c r="AF955" t="s">
        <v>74</v>
      </c>
      <c r="AG955">
        <v>0</v>
      </c>
      <c r="AH955">
        <v>0</v>
      </c>
      <c r="AI955">
        <v>0</v>
      </c>
      <c r="AJ955">
        <v>0</v>
      </c>
      <c r="AK955">
        <v>0</v>
      </c>
      <c r="AL955" t="s">
        <v>351</v>
      </c>
      <c r="AM955" t="s">
        <v>352</v>
      </c>
      <c r="AN955" t="s">
        <v>353</v>
      </c>
      <c r="AO955" t="s">
        <v>14892</v>
      </c>
      <c r="AP955" t="s">
        <v>14893</v>
      </c>
      <c r="AQ955" t="s">
        <v>74</v>
      </c>
      <c r="AR955" t="s">
        <v>14894</v>
      </c>
      <c r="AS955" t="s">
        <v>14895</v>
      </c>
      <c r="AT955" t="s">
        <v>13673</v>
      </c>
      <c r="AU955">
        <v>2006</v>
      </c>
      <c r="AV955">
        <v>3</v>
      </c>
      <c r="AW955" t="s">
        <v>74</v>
      </c>
      <c r="AX955" t="s">
        <v>74</v>
      </c>
      <c r="AY955" t="s">
        <v>74</v>
      </c>
      <c r="AZ955" t="s">
        <v>74</v>
      </c>
      <c r="BA955" t="s">
        <v>74</v>
      </c>
      <c r="BB955">
        <v>62</v>
      </c>
      <c r="BC955">
        <v>62</v>
      </c>
      <c r="BD955" t="s">
        <v>74</v>
      </c>
      <c r="BE955" t="s">
        <v>74</v>
      </c>
      <c r="BF955" t="s">
        <v>74</v>
      </c>
      <c r="BG955" t="s">
        <v>74</v>
      </c>
      <c r="BH955" t="s">
        <v>74</v>
      </c>
      <c r="BI955">
        <v>1</v>
      </c>
      <c r="BJ955" t="s">
        <v>685</v>
      </c>
      <c r="BK955" t="s">
        <v>643</v>
      </c>
      <c r="BL955" t="s">
        <v>642</v>
      </c>
      <c r="BM955" t="s">
        <v>14897</v>
      </c>
      <c r="BN955" t="s">
        <v>74</v>
      </c>
      <c r="BO955" t="s">
        <v>74</v>
      </c>
      <c r="BP955" t="s">
        <v>74</v>
      </c>
      <c r="BQ955" t="s">
        <v>74</v>
      </c>
      <c r="BR955" t="s">
        <v>100</v>
      </c>
      <c r="BS955" t="s">
        <v>14900</v>
      </c>
      <c r="BT955" t="str">
        <f>HYPERLINK("https%3A%2F%2Fwww.webofscience.com%2Fwos%2Fwoscc%2Ffull-record%2FWOS:000212881300017","View Full Record in Web of Science")</f>
        <v>View Full Record in Web of Science</v>
      </c>
    </row>
    <row r="956" spans="1:72" x14ac:dyDescent="0.15">
      <c r="A956" t="s">
        <v>72</v>
      </c>
      <c r="B956" t="s">
        <v>14901</v>
      </c>
      <c r="C956" t="s">
        <v>74</v>
      </c>
      <c r="D956" t="s">
        <v>74</v>
      </c>
      <c r="E956" t="s">
        <v>74</v>
      </c>
      <c r="F956" t="s">
        <v>14902</v>
      </c>
      <c r="G956" t="s">
        <v>74</v>
      </c>
      <c r="H956" t="s">
        <v>74</v>
      </c>
      <c r="I956" t="s">
        <v>14903</v>
      </c>
      <c r="J956" t="s">
        <v>11548</v>
      </c>
      <c r="K956" t="s">
        <v>74</v>
      </c>
      <c r="L956" t="s">
        <v>74</v>
      </c>
      <c r="M956" t="s">
        <v>78</v>
      </c>
      <c r="N956" t="s">
        <v>79</v>
      </c>
      <c r="O956" t="s">
        <v>74</v>
      </c>
      <c r="P956" t="s">
        <v>74</v>
      </c>
      <c r="Q956" t="s">
        <v>74</v>
      </c>
      <c r="R956" t="s">
        <v>74</v>
      </c>
      <c r="S956" t="s">
        <v>74</v>
      </c>
      <c r="T956" t="s">
        <v>74</v>
      </c>
      <c r="U956" t="s">
        <v>14904</v>
      </c>
      <c r="V956" t="s">
        <v>14905</v>
      </c>
      <c r="W956" t="s">
        <v>14906</v>
      </c>
      <c r="X956" t="s">
        <v>14907</v>
      </c>
      <c r="Y956" t="s">
        <v>14908</v>
      </c>
      <c r="Z956" t="s">
        <v>14909</v>
      </c>
      <c r="AA956" t="s">
        <v>14910</v>
      </c>
      <c r="AB956" t="s">
        <v>14911</v>
      </c>
      <c r="AC956" t="s">
        <v>74</v>
      </c>
      <c r="AD956" t="s">
        <v>74</v>
      </c>
      <c r="AE956" t="s">
        <v>74</v>
      </c>
      <c r="AF956" t="s">
        <v>74</v>
      </c>
      <c r="AG956">
        <v>37</v>
      </c>
      <c r="AH956">
        <v>9</v>
      </c>
      <c r="AI956">
        <v>10</v>
      </c>
      <c r="AJ956">
        <v>0</v>
      </c>
      <c r="AK956">
        <v>4</v>
      </c>
      <c r="AL956" t="s">
        <v>14912</v>
      </c>
      <c r="AM956" t="s">
        <v>14913</v>
      </c>
      <c r="AN956" t="s">
        <v>14914</v>
      </c>
      <c r="AO956" t="s">
        <v>14915</v>
      </c>
      <c r="AP956" t="s">
        <v>74</v>
      </c>
      <c r="AQ956" t="s">
        <v>74</v>
      </c>
      <c r="AR956" t="s">
        <v>11561</v>
      </c>
      <c r="AS956" t="s">
        <v>11562</v>
      </c>
      <c r="AT956" t="s">
        <v>13673</v>
      </c>
      <c r="AU956">
        <v>2006</v>
      </c>
      <c r="AV956">
        <v>58</v>
      </c>
      <c r="AW956">
        <v>4</v>
      </c>
      <c r="AX956" t="s">
        <v>74</v>
      </c>
      <c r="AY956" t="s">
        <v>74</v>
      </c>
      <c r="AZ956" t="s">
        <v>74</v>
      </c>
      <c r="BA956" t="s">
        <v>74</v>
      </c>
      <c r="BB956">
        <v>257</v>
      </c>
      <c r="BC956">
        <v>278</v>
      </c>
      <c r="BD956" t="s">
        <v>74</v>
      </c>
      <c r="BE956" t="s">
        <v>14916</v>
      </c>
      <c r="BF956" t="str">
        <f>HYPERLINK("http://dx.doi.org/10.1111/j.1600-0889.2006.00192.x","http://dx.doi.org/10.1111/j.1600-0889.2006.00192.x")</f>
        <v>http://dx.doi.org/10.1111/j.1600-0889.2006.00192.x</v>
      </c>
      <c r="BG956" t="s">
        <v>74</v>
      </c>
      <c r="BH956" t="s">
        <v>74</v>
      </c>
      <c r="BI956">
        <v>22</v>
      </c>
      <c r="BJ956" t="s">
        <v>3208</v>
      </c>
      <c r="BK956" t="s">
        <v>97</v>
      </c>
      <c r="BL956" t="s">
        <v>3208</v>
      </c>
      <c r="BM956" t="s">
        <v>14917</v>
      </c>
      <c r="BN956" t="s">
        <v>74</v>
      </c>
      <c r="BO956" t="s">
        <v>2155</v>
      </c>
      <c r="BP956" t="s">
        <v>74</v>
      </c>
      <c r="BQ956" t="s">
        <v>74</v>
      </c>
      <c r="BR956" t="s">
        <v>100</v>
      </c>
      <c r="BS956" t="s">
        <v>14918</v>
      </c>
      <c r="BT956" t="str">
        <f>HYPERLINK("https%3A%2F%2Fwww.webofscience.com%2Fwos%2Fwoscc%2Ffull-record%2FWOS:000240334800001","View Full Record in Web of Science")</f>
        <v>View Full Record in Web of Science</v>
      </c>
    </row>
    <row r="957" spans="1:72" x14ac:dyDescent="0.15">
      <c r="A957" t="s">
        <v>72</v>
      </c>
      <c r="B957" t="s">
        <v>14919</v>
      </c>
      <c r="C957" t="s">
        <v>74</v>
      </c>
      <c r="D957" t="s">
        <v>74</v>
      </c>
      <c r="E957" t="s">
        <v>74</v>
      </c>
      <c r="F957" t="s">
        <v>14920</v>
      </c>
      <c r="G957" t="s">
        <v>74</v>
      </c>
      <c r="H957" t="s">
        <v>74</v>
      </c>
      <c r="I957" t="s">
        <v>14921</v>
      </c>
      <c r="J957" t="s">
        <v>7251</v>
      </c>
      <c r="K957" t="s">
        <v>74</v>
      </c>
      <c r="L957" t="s">
        <v>74</v>
      </c>
      <c r="M957" t="s">
        <v>78</v>
      </c>
      <c r="N957" t="s">
        <v>79</v>
      </c>
      <c r="O957" t="s">
        <v>74</v>
      </c>
      <c r="P957" t="s">
        <v>74</v>
      </c>
      <c r="Q957" t="s">
        <v>74</v>
      </c>
      <c r="R957" t="s">
        <v>74</v>
      </c>
      <c r="S957" t="s">
        <v>74</v>
      </c>
      <c r="T957" t="s">
        <v>74</v>
      </c>
      <c r="U957" t="s">
        <v>14922</v>
      </c>
      <c r="V957" t="s">
        <v>14923</v>
      </c>
      <c r="W957" t="s">
        <v>14924</v>
      </c>
      <c r="X957" t="s">
        <v>7837</v>
      </c>
      <c r="Y957" t="s">
        <v>14925</v>
      </c>
      <c r="Z957" t="s">
        <v>14926</v>
      </c>
      <c r="AA957" t="s">
        <v>14927</v>
      </c>
      <c r="AB957" t="s">
        <v>14928</v>
      </c>
      <c r="AC957" t="s">
        <v>5151</v>
      </c>
      <c r="AD957" t="s">
        <v>158</v>
      </c>
      <c r="AE957" t="s">
        <v>74</v>
      </c>
      <c r="AF957" t="s">
        <v>74</v>
      </c>
      <c r="AG957">
        <v>27</v>
      </c>
      <c r="AH957">
        <v>23</v>
      </c>
      <c r="AI957">
        <v>25</v>
      </c>
      <c r="AJ957">
        <v>0</v>
      </c>
      <c r="AK957">
        <v>4</v>
      </c>
      <c r="AL957" t="s">
        <v>7239</v>
      </c>
      <c r="AM957" t="s">
        <v>5498</v>
      </c>
      <c r="AN957" t="s">
        <v>7240</v>
      </c>
      <c r="AO957" t="s">
        <v>7257</v>
      </c>
      <c r="AP957" t="s">
        <v>7394</v>
      </c>
      <c r="AQ957" t="s">
        <v>74</v>
      </c>
      <c r="AR957" t="s">
        <v>7258</v>
      </c>
      <c r="AS957" t="s">
        <v>7259</v>
      </c>
      <c r="AT957" t="s">
        <v>14929</v>
      </c>
      <c r="AU957">
        <v>2006</v>
      </c>
      <c r="AV957">
        <v>33</v>
      </c>
      <c r="AW957">
        <v>16</v>
      </c>
      <c r="AX957" t="s">
        <v>74</v>
      </c>
      <c r="AY957" t="s">
        <v>74</v>
      </c>
      <c r="AZ957" t="s">
        <v>74</v>
      </c>
      <c r="BA957" t="s">
        <v>74</v>
      </c>
      <c r="BB957" t="s">
        <v>74</v>
      </c>
      <c r="BC957" t="s">
        <v>74</v>
      </c>
      <c r="BD957" t="s">
        <v>14930</v>
      </c>
      <c r="BE957" t="s">
        <v>14931</v>
      </c>
      <c r="BF957" t="str">
        <f>HYPERLINK("http://dx.doi.org/10.1029/2006GL027066","http://dx.doi.org/10.1029/2006GL027066")</f>
        <v>http://dx.doi.org/10.1029/2006GL027066</v>
      </c>
      <c r="BG957" t="s">
        <v>74</v>
      </c>
      <c r="BH957" t="s">
        <v>74</v>
      </c>
      <c r="BI957">
        <v>5</v>
      </c>
      <c r="BJ957" t="s">
        <v>685</v>
      </c>
      <c r="BK957" t="s">
        <v>97</v>
      </c>
      <c r="BL957" t="s">
        <v>642</v>
      </c>
      <c r="BM957" t="s">
        <v>14932</v>
      </c>
      <c r="BN957" t="s">
        <v>74</v>
      </c>
      <c r="BO957" t="s">
        <v>1314</v>
      </c>
      <c r="BP957" t="s">
        <v>74</v>
      </c>
      <c r="BQ957" t="s">
        <v>74</v>
      </c>
      <c r="BR957" t="s">
        <v>100</v>
      </c>
      <c r="BS957" t="s">
        <v>14933</v>
      </c>
      <c r="BT957" t="str">
        <f>HYPERLINK("https%3A%2F%2Fwww.webofscience.com%2Fwos%2Fwoscc%2Ffull-record%2FWOS:000240331200005","View Full Record in Web of Science")</f>
        <v>View Full Record in Web of Science</v>
      </c>
    </row>
    <row r="958" spans="1:72" x14ac:dyDescent="0.15">
      <c r="A958" t="s">
        <v>72</v>
      </c>
      <c r="B958" t="s">
        <v>14934</v>
      </c>
      <c r="C958" t="s">
        <v>74</v>
      </c>
      <c r="D958" t="s">
        <v>74</v>
      </c>
      <c r="E958" t="s">
        <v>74</v>
      </c>
      <c r="F958" t="s">
        <v>14935</v>
      </c>
      <c r="G958" t="s">
        <v>74</v>
      </c>
      <c r="H958" t="s">
        <v>74</v>
      </c>
      <c r="I958" t="s">
        <v>14936</v>
      </c>
      <c r="J958" t="s">
        <v>6652</v>
      </c>
      <c r="K958" t="s">
        <v>74</v>
      </c>
      <c r="L958" t="s">
        <v>74</v>
      </c>
      <c r="M958" t="s">
        <v>78</v>
      </c>
      <c r="N958" t="s">
        <v>79</v>
      </c>
      <c r="O958" t="s">
        <v>74</v>
      </c>
      <c r="P958" t="s">
        <v>74</v>
      </c>
      <c r="Q958" t="s">
        <v>74</v>
      </c>
      <c r="R958" t="s">
        <v>74</v>
      </c>
      <c r="S958" t="s">
        <v>74</v>
      </c>
      <c r="T958" t="s">
        <v>14937</v>
      </c>
      <c r="U958" t="s">
        <v>14938</v>
      </c>
      <c r="V958" t="s">
        <v>14939</v>
      </c>
      <c r="W958" t="s">
        <v>14940</v>
      </c>
      <c r="X958" t="s">
        <v>14941</v>
      </c>
      <c r="Y958" t="s">
        <v>14942</v>
      </c>
      <c r="Z958" t="s">
        <v>14943</v>
      </c>
      <c r="AA958" t="s">
        <v>74</v>
      </c>
      <c r="AB958" t="s">
        <v>74</v>
      </c>
      <c r="AC958" t="s">
        <v>74</v>
      </c>
      <c r="AD958" t="s">
        <v>74</v>
      </c>
      <c r="AE958" t="s">
        <v>74</v>
      </c>
      <c r="AF958" t="s">
        <v>74</v>
      </c>
      <c r="AG958">
        <v>31</v>
      </c>
      <c r="AH958">
        <v>25</v>
      </c>
      <c r="AI958">
        <v>27</v>
      </c>
      <c r="AJ958">
        <v>10</v>
      </c>
      <c r="AK958">
        <v>46</v>
      </c>
      <c r="AL958" t="s">
        <v>2829</v>
      </c>
      <c r="AM958" t="s">
        <v>903</v>
      </c>
      <c r="AN958" t="s">
        <v>2830</v>
      </c>
      <c r="AO958" t="s">
        <v>6660</v>
      </c>
      <c r="AP958" t="s">
        <v>6661</v>
      </c>
      <c r="AQ958" t="s">
        <v>74</v>
      </c>
      <c r="AR958" t="s">
        <v>6662</v>
      </c>
      <c r="AS958" t="s">
        <v>6663</v>
      </c>
      <c r="AT958" t="s">
        <v>14929</v>
      </c>
      <c r="AU958">
        <v>2006</v>
      </c>
      <c r="AV958">
        <v>367</v>
      </c>
      <c r="AW958" t="s">
        <v>6664</v>
      </c>
      <c r="AX958" t="s">
        <v>74</v>
      </c>
      <c r="AY958" t="s">
        <v>74</v>
      </c>
      <c r="AZ958" t="s">
        <v>74</v>
      </c>
      <c r="BA958" t="s">
        <v>74</v>
      </c>
      <c r="BB958">
        <v>778</v>
      </c>
      <c r="BC958">
        <v>790</v>
      </c>
      <c r="BD958" t="s">
        <v>74</v>
      </c>
      <c r="BE958" t="s">
        <v>14944</v>
      </c>
      <c r="BF958" t="str">
        <f>HYPERLINK("http://dx.doi.org/10.1016/j.scitotenv.2006.01.018","http://dx.doi.org/10.1016/j.scitotenv.2006.01.018")</f>
        <v>http://dx.doi.org/10.1016/j.scitotenv.2006.01.018</v>
      </c>
      <c r="BG958" t="s">
        <v>74</v>
      </c>
      <c r="BH958" t="s">
        <v>74</v>
      </c>
      <c r="BI958">
        <v>13</v>
      </c>
      <c r="BJ958" t="s">
        <v>237</v>
      </c>
      <c r="BK958" t="s">
        <v>97</v>
      </c>
      <c r="BL958" t="s">
        <v>226</v>
      </c>
      <c r="BM958" t="s">
        <v>14945</v>
      </c>
      <c r="BN958">
        <v>16698070</v>
      </c>
      <c r="BO958" t="s">
        <v>74</v>
      </c>
      <c r="BP958" t="s">
        <v>74</v>
      </c>
      <c r="BQ958" t="s">
        <v>74</v>
      </c>
      <c r="BR958" t="s">
        <v>100</v>
      </c>
      <c r="BS958" t="s">
        <v>14946</v>
      </c>
      <c r="BT958" t="str">
        <f>HYPERLINK("https%3A%2F%2Fwww.webofscience.com%2Fwos%2Fwoscc%2Ffull-record%2FWOS:000240042700022","View Full Record in Web of Science")</f>
        <v>View Full Record in Web of Science</v>
      </c>
    </row>
    <row r="959" spans="1:72" x14ac:dyDescent="0.15">
      <c r="A959" t="s">
        <v>72</v>
      </c>
      <c r="B959" t="s">
        <v>14947</v>
      </c>
      <c r="C959" t="s">
        <v>74</v>
      </c>
      <c r="D959" t="s">
        <v>74</v>
      </c>
      <c r="E959" t="s">
        <v>74</v>
      </c>
      <c r="F959" t="s">
        <v>14948</v>
      </c>
      <c r="G959" t="s">
        <v>74</v>
      </c>
      <c r="H959" t="s">
        <v>74</v>
      </c>
      <c r="I959" t="s">
        <v>14949</v>
      </c>
      <c r="J959" t="s">
        <v>7547</v>
      </c>
      <c r="K959" t="s">
        <v>74</v>
      </c>
      <c r="L959" t="s">
        <v>74</v>
      </c>
      <c r="M959" t="s">
        <v>78</v>
      </c>
      <c r="N959" t="s">
        <v>79</v>
      </c>
      <c r="O959" t="s">
        <v>74</v>
      </c>
      <c r="P959" t="s">
        <v>74</v>
      </c>
      <c r="Q959" t="s">
        <v>74</v>
      </c>
      <c r="R959" t="s">
        <v>74</v>
      </c>
      <c r="S959" t="s">
        <v>74</v>
      </c>
      <c r="T959" t="s">
        <v>14950</v>
      </c>
      <c r="U959" t="s">
        <v>14951</v>
      </c>
      <c r="V959" t="s">
        <v>14952</v>
      </c>
      <c r="W959" t="s">
        <v>14953</v>
      </c>
      <c r="X959" t="s">
        <v>14954</v>
      </c>
      <c r="Y959" t="s">
        <v>14955</v>
      </c>
      <c r="Z959" t="s">
        <v>14956</v>
      </c>
      <c r="AA959" t="s">
        <v>14957</v>
      </c>
      <c r="AB959" t="s">
        <v>14958</v>
      </c>
      <c r="AC959" t="s">
        <v>74</v>
      </c>
      <c r="AD959" t="s">
        <v>74</v>
      </c>
      <c r="AE959" t="s">
        <v>74</v>
      </c>
      <c r="AF959" t="s">
        <v>74</v>
      </c>
      <c r="AG959">
        <v>49</v>
      </c>
      <c r="AH959">
        <v>46</v>
      </c>
      <c r="AI959">
        <v>47</v>
      </c>
      <c r="AJ959">
        <v>0</v>
      </c>
      <c r="AK959">
        <v>22</v>
      </c>
      <c r="AL959" t="s">
        <v>2829</v>
      </c>
      <c r="AM959" t="s">
        <v>903</v>
      </c>
      <c r="AN959" t="s">
        <v>2830</v>
      </c>
      <c r="AO959" t="s">
        <v>7557</v>
      </c>
      <c r="AP959" t="s">
        <v>7558</v>
      </c>
      <c r="AQ959" t="s">
        <v>74</v>
      </c>
      <c r="AR959" t="s">
        <v>7559</v>
      </c>
      <c r="AS959" t="s">
        <v>7560</v>
      </c>
      <c r="AT959" t="s">
        <v>14959</v>
      </c>
      <c r="AU959">
        <v>2006</v>
      </c>
      <c r="AV959">
        <v>248</v>
      </c>
      <c r="AW959" t="s">
        <v>1283</v>
      </c>
      <c r="AX959" t="s">
        <v>74</v>
      </c>
      <c r="AY959" t="s">
        <v>74</v>
      </c>
      <c r="AZ959" t="s">
        <v>74</v>
      </c>
      <c r="BA959" t="s">
        <v>74</v>
      </c>
      <c r="BB959">
        <v>750</v>
      </c>
      <c r="BC959">
        <v>758</v>
      </c>
      <c r="BD959" t="s">
        <v>74</v>
      </c>
      <c r="BE959" t="s">
        <v>14960</v>
      </c>
      <c r="BF959" t="str">
        <f>HYPERLINK("http://dx.doi.org/10.1016/j.epsl.2006.06.017","http://dx.doi.org/10.1016/j.epsl.2006.06.017")</f>
        <v>http://dx.doi.org/10.1016/j.epsl.2006.06.017</v>
      </c>
      <c r="BG959" t="s">
        <v>74</v>
      </c>
      <c r="BH959" t="s">
        <v>74</v>
      </c>
      <c r="BI959">
        <v>9</v>
      </c>
      <c r="BJ959" t="s">
        <v>865</v>
      </c>
      <c r="BK959" t="s">
        <v>97</v>
      </c>
      <c r="BL959" t="s">
        <v>865</v>
      </c>
      <c r="BM959" t="s">
        <v>14961</v>
      </c>
      <c r="BN959" t="s">
        <v>74</v>
      </c>
      <c r="BO959" t="s">
        <v>74</v>
      </c>
      <c r="BP959" t="s">
        <v>74</v>
      </c>
      <c r="BQ959" t="s">
        <v>74</v>
      </c>
      <c r="BR959" t="s">
        <v>100</v>
      </c>
      <c r="BS959" t="s">
        <v>14962</v>
      </c>
      <c r="BT959" t="str">
        <f>HYPERLINK("https%3A%2F%2Fwww.webofscience.com%2Fwos%2Fwoscc%2Ffull-record%2FWOS:000240602400011","View Full Record in Web of Science")</f>
        <v>View Full Record in Web of Science</v>
      </c>
    </row>
    <row r="960" spans="1:72" x14ac:dyDescent="0.15">
      <c r="A960" t="s">
        <v>72</v>
      </c>
      <c r="B960" t="s">
        <v>14963</v>
      </c>
      <c r="C960" t="s">
        <v>74</v>
      </c>
      <c r="D960" t="s">
        <v>74</v>
      </c>
      <c r="E960" t="s">
        <v>74</v>
      </c>
      <c r="F960" t="s">
        <v>14964</v>
      </c>
      <c r="G960" t="s">
        <v>74</v>
      </c>
      <c r="H960" t="s">
        <v>74</v>
      </c>
      <c r="I960" t="s">
        <v>14965</v>
      </c>
      <c r="J960" t="s">
        <v>7251</v>
      </c>
      <c r="K960" t="s">
        <v>74</v>
      </c>
      <c r="L960" t="s">
        <v>74</v>
      </c>
      <c r="M960" t="s">
        <v>78</v>
      </c>
      <c r="N960" t="s">
        <v>79</v>
      </c>
      <c r="O960" t="s">
        <v>74</v>
      </c>
      <c r="P960" t="s">
        <v>74</v>
      </c>
      <c r="Q960" t="s">
        <v>74</v>
      </c>
      <c r="R960" t="s">
        <v>74</v>
      </c>
      <c r="S960" t="s">
        <v>74</v>
      </c>
      <c r="T960" t="s">
        <v>74</v>
      </c>
      <c r="U960" t="s">
        <v>14966</v>
      </c>
      <c r="V960" t="s">
        <v>14967</v>
      </c>
      <c r="W960" t="s">
        <v>14968</v>
      </c>
      <c r="X960" t="s">
        <v>14969</v>
      </c>
      <c r="Y960" t="s">
        <v>14970</v>
      </c>
      <c r="Z960" t="s">
        <v>14971</v>
      </c>
      <c r="AA960" t="s">
        <v>14972</v>
      </c>
      <c r="AB960" t="s">
        <v>14973</v>
      </c>
      <c r="AC960" t="s">
        <v>74</v>
      </c>
      <c r="AD960" t="s">
        <v>74</v>
      </c>
      <c r="AE960" t="s">
        <v>74</v>
      </c>
      <c r="AF960" t="s">
        <v>74</v>
      </c>
      <c r="AG960">
        <v>32</v>
      </c>
      <c r="AH960">
        <v>79</v>
      </c>
      <c r="AI960">
        <v>94</v>
      </c>
      <c r="AJ960">
        <v>2</v>
      </c>
      <c r="AK960">
        <v>28</v>
      </c>
      <c r="AL960" t="s">
        <v>7239</v>
      </c>
      <c r="AM960" t="s">
        <v>5498</v>
      </c>
      <c r="AN960" t="s">
        <v>7240</v>
      </c>
      <c r="AO960" t="s">
        <v>7257</v>
      </c>
      <c r="AP960" t="s">
        <v>7394</v>
      </c>
      <c r="AQ960" t="s">
        <v>74</v>
      </c>
      <c r="AR960" t="s">
        <v>7258</v>
      </c>
      <c r="AS960" t="s">
        <v>7259</v>
      </c>
      <c r="AT960" t="s">
        <v>14959</v>
      </c>
      <c r="AU960">
        <v>2006</v>
      </c>
      <c r="AV960">
        <v>33</v>
      </c>
      <c r="AW960">
        <v>16</v>
      </c>
      <c r="AX960" t="s">
        <v>74</v>
      </c>
      <c r="AY960" t="s">
        <v>74</v>
      </c>
      <c r="AZ960" t="s">
        <v>74</v>
      </c>
      <c r="BA960" t="s">
        <v>74</v>
      </c>
      <c r="BB960" t="s">
        <v>74</v>
      </c>
      <c r="BC960" t="s">
        <v>74</v>
      </c>
      <c r="BD960" t="s">
        <v>14974</v>
      </c>
      <c r="BE960" t="s">
        <v>14975</v>
      </c>
      <c r="BF960" t="str">
        <f>HYPERLINK("http://dx.doi.org/10.1029/2006GL027057","http://dx.doi.org/10.1029/2006GL027057")</f>
        <v>http://dx.doi.org/10.1029/2006GL027057</v>
      </c>
      <c r="BG960" t="s">
        <v>74</v>
      </c>
      <c r="BH960" t="s">
        <v>74</v>
      </c>
      <c r="BI960">
        <v>5</v>
      </c>
      <c r="BJ960" t="s">
        <v>685</v>
      </c>
      <c r="BK960" t="s">
        <v>97</v>
      </c>
      <c r="BL960" t="s">
        <v>642</v>
      </c>
      <c r="BM960" t="s">
        <v>14976</v>
      </c>
      <c r="BN960" t="s">
        <v>74</v>
      </c>
      <c r="BO960" t="s">
        <v>7456</v>
      </c>
      <c r="BP960" t="s">
        <v>74</v>
      </c>
      <c r="BQ960" t="s">
        <v>74</v>
      </c>
      <c r="BR960" t="s">
        <v>100</v>
      </c>
      <c r="BS960" t="s">
        <v>14977</v>
      </c>
      <c r="BT960" t="str">
        <f>HYPERLINK("https%3A%2F%2Fwww.webofscience.com%2Fwos%2Fwoscc%2Ffull-record%2FWOS:000240330900007","View Full Record in Web of Science")</f>
        <v>View Full Record in Web of Science</v>
      </c>
    </row>
    <row r="961" spans="1:72" x14ac:dyDescent="0.15">
      <c r="A961" t="s">
        <v>72</v>
      </c>
      <c r="B961" t="s">
        <v>14978</v>
      </c>
      <c r="C961" t="s">
        <v>74</v>
      </c>
      <c r="D961" t="s">
        <v>74</v>
      </c>
      <c r="E961" t="s">
        <v>74</v>
      </c>
      <c r="F961" t="s">
        <v>14979</v>
      </c>
      <c r="G961" t="s">
        <v>74</v>
      </c>
      <c r="H961" t="s">
        <v>74</v>
      </c>
      <c r="I961" t="s">
        <v>14980</v>
      </c>
      <c r="J961" t="s">
        <v>7439</v>
      </c>
      <c r="K961" t="s">
        <v>74</v>
      </c>
      <c r="L961" t="s">
        <v>74</v>
      </c>
      <c r="M961" t="s">
        <v>78</v>
      </c>
      <c r="N961" t="s">
        <v>79</v>
      </c>
      <c r="O961" t="s">
        <v>74</v>
      </c>
      <c r="P961" t="s">
        <v>74</v>
      </c>
      <c r="Q961" t="s">
        <v>74</v>
      </c>
      <c r="R961" t="s">
        <v>74</v>
      </c>
      <c r="S961" t="s">
        <v>74</v>
      </c>
      <c r="T961" t="s">
        <v>74</v>
      </c>
      <c r="U961" t="s">
        <v>14981</v>
      </c>
      <c r="V961" t="s">
        <v>14982</v>
      </c>
      <c r="W961" t="s">
        <v>14983</v>
      </c>
      <c r="X961" t="s">
        <v>14984</v>
      </c>
      <c r="Y961" t="s">
        <v>14985</v>
      </c>
      <c r="Z961" t="s">
        <v>14986</v>
      </c>
      <c r="AA961" t="s">
        <v>14987</v>
      </c>
      <c r="AB961" t="s">
        <v>74</v>
      </c>
      <c r="AC961" t="s">
        <v>74</v>
      </c>
      <c r="AD961" t="s">
        <v>74</v>
      </c>
      <c r="AE961" t="s">
        <v>74</v>
      </c>
      <c r="AF961" t="s">
        <v>74</v>
      </c>
      <c r="AG961">
        <v>33</v>
      </c>
      <c r="AH961">
        <v>104</v>
      </c>
      <c r="AI961">
        <v>109</v>
      </c>
      <c r="AJ961">
        <v>0</v>
      </c>
      <c r="AK961">
        <v>12</v>
      </c>
      <c r="AL961" t="s">
        <v>7239</v>
      </c>
      <c r="AM961" t="s">
        <v>5498</v>
      </c>
      <c r="AN961" t="s">
        <v>7240</v>
      </c>
      <c r="AO961" t="s">
        <v>7448</v>
      </c>
      <c r="AP961" t="s">
        <v>7449</v>
      </c>
      <c r="AQ961" t="s">
        <v>74</v>
      </c>
      <c r="AR961" t="s">
        <v>7450</v>
      </c>
      <c r="AS961" t="s">
        <v>7451</v>
      </c>
      <c r="AT961" t="s">
        <v>14959</v>
      </c>
      <c r="AU961">
        <v>2006</v>
      </c>
      <c r="AV961">
        <v>111</v>
      </c>
      <c r="AW961" t="s">
        <v>14988</v>
      </c>
      <c r="AX961" t="s">
        <v>74</v>
      </c>
      <c r="AY961" t="s">
        <v>74</v>
      </c>
      <c r="AZ961" t="s">
        <v>74</v>
      </c>
      <c r="BA961" t="s">
        <v>74</v>
      </c>
      <c r="BB961" t="s">
        <v>74</v>
      </c>
      <c r="BC961" t="s">
        <v>74</v>
      </c>
      <c r="BD961" t="s">
        <v>14989</v>
      </c>
      <c r="BE961" t="s">
        <v>14990</v>
      </c>
      <c r="BF961" t="str">
        <f>HYPERLINK("http://dx.doi.org/10.1029/2005JD006907","http://dx.doi.org/10.1029/2005JD006907")</f>
        <v>http://dx.doi.org/10.1029/2005JD006907</v>
      </c>
      <c r="BG961" t="s">
        <v>74</v>
      </c>
      <c r="BH961" t="s">
        <v>74</v>
      </c>
      <c r="BI961">
        <v>16</v>
      </c>
      <c r="BJ961" t="s">
        <v>3208</v>
      </c>
      <c r="BK961" t="s">
        <v>97</v>
      </c>
      <c r="BL961" t="s">
        <v>3208</v>
      </c>
      <c r="BM961" t="s">
        <v>14991</v>
      </c>
      <c r="BN961" t="s">
        <v>74</v>
      </c>
      <c r="BO961" t="s">
        <v>124</v>
      </c>
      <c r="BP961" t="s">
        <v>74</v>
      </c>
      <c r="BQ961" t="s">
        <v>74</v>
      </c>
      <c r="BR961" t="s">
        <v>100</v>
      </c>
      <c r="BS961" t="s">
        <v>14992</v>
      </c>
      <c r="BT961" t="str">
        <f>HYPERLINK("https%3A%2F%2Fwww.webofscience.com%2Fwos%2Fwoscc%2Ffull-record%2FWOS:000240333300004","View Full Record in Web of Science")</f>
        <v>View Full Record in Web of Science</v>
      </c>
    </row>
    <row r="962" spans="1:72" x14ac:dyDescent="0.15">
      <c r="A962" t="s">
        <v>72</v>
      </c>
      <c r="B962" t="s">
        <v>14993</v>
      </c>
      <c r="C962" t="s">
        <v>74</v>
      </c>
      <c r="D962" t="s">
        <v>74</v>
      </c>
      <c r="E962" t="s">
        <v>74</v>
      </c>
      <c r="F962" t="s">
        <v>14994</v>
      </c>
      <c r="G962" t="s">
        <v>74</v>
      </c>
      <c r="H962" t="s">
        <v>74</v>
      </c>
      <c r="I962" t="s">
        <v>14995</v>
      </c>
      <c r="J962" t="s">
        <v>7267</v>
      </c>
      <c r="K962" t="s">
        <v>74</v>
      </c>
      <c r="L962" t="s">
        <v>74</v>
      </c>
      <c r="M962" t="s">
        <v>78</v>
      </c>
      <c r="N962" t="s">
        <v>79</v>
      </c>
      <c r="O962" t="s">
        <v>74</v>
      </c>
      <c r="P962" t="s">
        <v>74</v>
      </c>
      <c r="Q962" t="s">
        <v>74</v>
      </c>
      <c r="R962" t="s">
        <v>74</v>
      </c>
      <c r="S962" t="s">
        <v>74</v>
      </c>
      <c r="T962" t="s">
        <v>14996</v>
      </c>
      <c r="U962" t="s">
        <v>14997</v>
      </c>
      <c r="V962" t="s">
        <v>14998</v>
      </c>
      <c r="W962" t="s">
        <v>14999</v>
      </c>
      <c r="X962" t="s">
        <v>15000</v>
      </c>
      <c r="Y962" t="s">
        <v>15001</v>
      </c>
      <c r="Z962" t="s">
        <v>15002</v>
      </c>
      <c r="AA962" t="s">
        <v>74</v>
      </c>
      <c r="AB962" t="s">
        <v>15003</v>
      </c>
      <c r="AC962" t="s">
        <v>74</v>
      </c>
      <c r="AD962" t="s">
        <v>74</v>
      </c>
      <c r="AE962" t="s">
        <v>74</v>
      </c>
      <c r="AF962" t="s">
        <v>74</v>
      </c>
      <c r="AG962">
        <v>51</v>
      </c>
      <c r="AH962">
        <v>1</v>
      </c>
      <c r="AI962">
        <v>1</v>
      </c>
      <c r="AJ962">
        <v>1</v>
      </c>
      <c r="AK962">
        <v>5</v>
      </c>
      <c r="AL962" t="s">
        <v>838</v>
      </c>
      <c r="AM962" t="s">
        <v>678</v>
      </c>
      <c r="AN962" t="s">
        <v>8331</v>
      </c>
      <c r="AO962" t="s">
        <v>7276</v>
      </c>
      <c r="AP962" t="s">
        <v>11687</v>
      </c>
      <c r="AQ962" t="s">
        <v>74</v>
      </c>
      <c r="AR962" t="s">
        <v>7277</v>
      </c>
      <c r="AS962" t="s">
        <v>7278</v>
      </c>
      <c r="AT962" t="s">
        <v>14959</v>
      </c>
      <c r="AU962">
        <v>2006</v>
      </c>
      <c r="AV962">
        <v>103</v>
      </c>
      <c r="AW962">
        <v>4</v>
      </c>
      <c r="AX962" t="s">
        <v>74</v>
      </c>
      <c r="AY962" t="s">
        <v>74</v>
      </c>
      <c r="AZ962" t="s">
        <v>74</v>
      </c>
      <c r="BA962" t="s">
        <v>74</v>
      </c>
      <c r="BB962">
        <v>398</v>
      </c>
      <c r="BC962">
        <v>407</v>
      </c>
      <c r="BD962" t="s">
        <v>74</v>
      </c>
      <c r="BE962" t="s">
        <v>15004</v>
      </c>
      <c r="BF962" t="str">
        <f>HYPERLINK("http://dx.doi.org/10.1016/j.rse.2006.04.002","http://dx.doi.org/10.1016/j.rse.2006.04.002")</f>
        <v>http://dx.doi.org/10.1016/j.rse.2006.04.002</v>
      </c>
      <c r="BG962" t="s">
        <v>74</v>
      </c>
      <c r="BH962" t="s">
        <v>74</v>
      </c>
      <c r="BI962">
        <v>10</v>
      </c>
      <c r="BJ962" t="s">
        <v>7280</v>
      </c>
      <c r="BK962" t="s">
        <v>97</v>
      </c>
      <c r="BL962" t="s">
        <v>7281</v>
      </c>
      <c r="BM962" t="s">
        <v>15005</v>
      </c>
      <c r="BN962" t="s">
        <v>74</v>
      </c>
      <c r="BO962" t="s">
        <v>74</v>
      </c>
      <c r="BP962" t="s">
        <v>74</v>
      </c>
      <c r="BQ962" t="s">
        <v>74</v>
      </c>
      <c r="BR962" t="s">
        <v>100</v>
      </c>
      <c r="BS962" t="s">
        <v>15006</v>
      </c>
      <c r="BT962" t="str">
        <f>HYPERLINK("https%3A%2F%2Fwww.webofscience.com%2Fwos%2Fwoscc%2Ffull-record%2FWOS:000239882000002","View Full Record in Web of Science")</f>
        <v>View Full Record in Web of Science</v>
      </c>
    </row>
    <row r="963" spans="1:72" x14ac:dyDescent="0.15">
      <c r="A963" t="s">
        <v>72</v>
      </c>
      <c r="B963" t="s">
        <v>15007</v>
      </c>
      <c r="C963" t="s">
        <v>74</v>
      </c>
      <c r="D963" t="s">
        <v>74</v>
      </c>
      <c r="E963" t="s">
        <v>74</v>
      </c>
      <c r="F963" t="s">
        <v>15008</v>
      </c>
      <c r="G963" t="s">
        <v>74</v>
      </c>
      <c r="H963" t="s">
        <v>74</v>
      </c>
      <c r="I963" t="s">
        <v>15009</v>
      </c>
      <c r="J963" t="s">
        <v>15010</v>
      </c>
      <c r="K963" t="s">
        <v>74</v>
      </c>
      <c r="L963" t="s">
        <v>74</v>
      </c>
      <c r="M963" t="s">
        <v>78</v>
      </c>
      <c r="N963" t="s">
        <v>176</v>
      </c>
      <c r="O963" t="s">
        <v>15011</v>
      </c>
      <c r="P963" t="s">
        <v>15012</v>
      </c>
      <c r="Q963" t="s">
        <v>15013</v>
      </c>
      <c r="R963" t="s">
        <v>74</v>
      </c>
      <c r="S963" t="s">
        <v>15014</v>
      </c>
      <c r="T963" t="s">
        <v>15015</v>
      </c>
      <c r="U963" t="s">
        <v>15016</v>
      </c>
      <c r="V963" t="s">
        <v>15017</v>
      </c>
      <c r="W963" t="s">
        <v>15018</v>
      </c>
      <c r="X963" t="s">
        <v>15019</v>
      </c>
      <c r="Y963" t="s">
        <v>15020</v>
      </c>
      <c r="Z963" t="s">
        <v>15021</v>
      </c>
      <c r="AA963" t="s">
        <v>15022</v>
      </c>
      <c r="AB963" t="s">
        <v>15023</v>
      </c>
      <c r="AC963" t="s">
        <v>74</v>
      </c>
      <c r="AD963" t="s">
        <v>74</v>
      </c>
      <c r="AE963" t="s">
        <v>74</v>
      </c>
      <c r="AF963" t="s">
        <v>74</v>
      </c>
      <c r="AG963">
        <v>40</v>
      </c>
      <c r="AH963">
        <v>60</v>
      </c>
      <c r="AI963">
        <v>66</v>
      </c>
      <c r="AJ963">
        <v>1</v>
      </c>
      <c r="AK963">
        <v>33</v>
      </c>
      <c r="AL963" t="s">
        <v>2829</v>
      </c>
      <c r="AM963" t="s">
        <v>903</v>
      </c>
      <c r="AN963" t="s">
        <v>2830</v>
      </c>
      <c r="AO963" t="s">
        <v>15024</v>
      </c>
      <c r="AP963" t="s">
        <v>15025</v>
      </c>
      <c r="AQ963" t="s">
        <v>74</v>
      </c>
      <c r="AR963" t="s">
        <v>15026</v>
      </c>
      <c r="AS963" t="s">
        <v>15027</v>
      </c>
      <c r="AT963" t="s">
        <v>14959</v>
      </c>
      <c r="AU963">
        <v>2006</v>
      </c>
      <c r="AV963">
        <v>41</v>
      </c>
      <c r="AW963">
        <v>2</v>
      </c>
      <c r="AX963" t="s">
        <v>74</v>
      </c>
      <c r="AY963" t="s">
        <v>74</v>
      </c>
      <c r="AZ963" t="s">
        <v>3394</v>
      </c>
      <c r="BA963" t="s">
        <v>74</v>
      </c>
      <c r="BB963">
        <v>182</v>
      </c>
      <c r="BC963">
        <v>189</v>
      </c>
      <c r="BD963" t="s">
        <v>74</v>
      </c>
      <c r="BE963" t="s">
        <v>15028</v>
      </c>
      <c r="BF963" t="str">
        <f>HYPERLINK("http://dx.doi.org/10.1016/j.vibspec.2006.01.008","http://dx.doi.org/10.1016/j.vibspec.2006.01.008")</f>
        <v>http://dx.doi.org/10.1016/j.vibspec.2006.01.008</v>
      </c>
      <c r="BG963" t="s">
        <v>74</v>
      </c>
      <c r="BH963" t="s">
        <v>74</v>
      </c>
      <c r="BI963">
        <v>8</v>
      </c>
      <c r="BJ963" t="s">
        <v>15029</v>
      </c>
      <c r="BK963" t="s">
        <v>197</v>
      </c>
      <c r="BL963" t="s">
        <v>3306</v>
      </c>
      <c r="BM963" t="s">
        <v>15030</v>
      </c>
      <c r="BN963" t="s">
        <v>74</v>
      </c>
      <c r="BO963" t="s">
        <v>74</v>
      </c>
      <c r="BP963" t="s">
        <v>74</v>
      </c>
      <c r="BQ963" t="s">
        <v>74</v>
      </c>
      <c r="BR963" t="s">
        <v>100</v>
      </c>
      <c r="BS963" t="s">
        <v>15031</v>
      </c>
      <c r="BT963" t="str">
        <f>HYPERLINK("https%3A%2F%2Fwww.webofscience.com%2Fwos%2Fwoscc%2Ffull-record%2FWOS:000240358900007","View Full Record in Web of Science")</f>
        <v>View Full Record in Web of Science</v>
      </c>
    </row>
    <row r="964" spans="1:72" x14ac:dyDescent="0.15">
      <c r="A964" t="s">
        <v>72</v>
      </c>
      <c r="B964" t="s">
        <v>15032</v>
      </c>
      <c r="C964" t="s">
        <v>74</v>
      </c>
      <c r="D964" t="s">
        <v>74</v>
      </c>
      <c r="E964" t="s">
        <v>74</v>
      </c>
      <c r="F964" t="s">
        <v>15033</v>
      </c>
      <c r="G964" t="s">
        <v>74</v>
      </c>
      <c r="H964" t="s">
        <v>74</v>
      </c>
      <c r="I964" t="s">
        <v>15034</v>
      </c>
      <c r="J964" t="s">
        <v>7832</v>
      </c>
      <c r="K964" t="s">
        <v>74</v>
      </c>
      <c r="L964" t="s">
        <v>74</v>
      </c>
      <c r="M964" t="s">
        <v>78</v>
      </c>
      <c r="N964" t="s">
        <v>176</v>
      </c>
      <c r="O964" t="s">
        <v>15035</v>
      </c>
      <c r="P964">
        <v>2001</v>
      </c>
      <c r="Q964" t="s">
        <v>15036</v>
      </c>
      <c r="R964" t="s">
        <v>74</v>
      </c>
      <c r="S964" t="s">
        <v>74</v>
      </c>
      <c r="T964" t="s">
        <v>15037</v>
      </c>
      <c r="U964" t="s">
        <v>15038</v>
      </c>
      <c r="V964" t="s">
        <v>15039</v>
      </c>
      <c r="W964" t="s">
        <v>15040</v>
      </c>
      <c r="X964" t="s">
        <v>15041</v>
      </c>
      <c r="Y964" t="s">
        <v>15042</v>
      </c>
      <c r="Z964" t="s">
        <v>15043</v>
      </c>
      <c r="AA964" t="s">
        <v>15044</v>
      </c>
      <c r="AB964" t="s">
        <v>74</v>
      </c>
      <c r="AC964" t="s">
        <v>74</v>
      </c>
      <c r="AD964" t="s">
        <v>74</v>
      </c>
      <c r="AE964" t="s">
        <v>74</v>
      </c>
      <c r="AF964" t="s">
        <v>74</v>
      </c>
      <c r="AG964">
        <v>81</v>
      </c>
      <c r="AH964">
        <v>54</v>
      </c>
      <c r="AI964">
        <v>59</v>
      </c>
      <c r="AJ964">
        <v>0</v>
      </c>
      <c r="AK964">
        <v>9</v>
      </c>
      <c r="AL964" t="s">
        <v>2829</v>
      </c>
      <c r="AM964" t="s">
        <v>903</v>
      </c>
      <c r="AN964" t="s">
        <v>2830</v>
      </c>
      <c r="AO964" t="s">
        <v>7843</v>
      </c>
      <c r="AP964" t="s">
        <v>7844</v>
      </c>
      <c r="AQ964" t="s">
        <v>74</v>
      </c>
      <c r="AR964" t="s">
        <v>7845</v>
      </c>
      <c r="AS964" t="s">
        <v>7846</v>
      </c>
      <c r="AT964" t="s">
        <v>15045</v>
      </c>
      <c r="AU964">
        <v>2006</v>
      </c>
      <c r="AV964">
        <v>238</v>
      </c>
      <c r="AW964" t="s">
        <v>9712</v>
      </c>
      <c r="AX964" t="s">
        <v>74</v>
      </c>
      <c r="AY964" t="s">
        <v>74</v>
      </c>
      <c r="AZ964" t="s">
        <v>74</v>
      </c>
      <c r="BA964" t="s">
        <v>74</v>
      </c>
      <c r="BB964">
        <v>399</v>
      </c>
      <c r="BC964">
        <v>423</v>
      </c>
      <c r="BD964" t="s">
        <v>74</v>
      </c>
      <c r="BE964" t="s">
        <v>15046</v>
      </c>
      <c r="BF964" t="str">
        <f>HYPERLINK("http://dx.doi.org/10.1016/j.palaeo.2006.03.037","http://dx.doi.org/10.1016/j.palaeo.2006.03.037")</f>
        <v>http://dx.doi.org/10.1016/j.palaeo.2006.03.037</v>
      </c>
      <c r="BG964" t="s">
        <v>74</v>
      </c>
      <c r="BH964" t="s">
        <v>74</v>
      </c>
      <c r="BI964">
        <v>25</v>
      </c>
      <c r="BJ964" t="s">
        <v>7849</v>
      </c>
      <c r="BK964" t="s">
        <v>197</v>
      </c>
      <c r="BL964" t="s">
        <v>7850</v>
      </c>
      <c r="BM964" t="s">
        <v>15047</v>
      </c>
      <c r="BN964" t="s">
        <v>74</v>
      </c>
      <c r="BO964" t="s">
        <v>74</v>
      </c>
      <c r="BP964" t="s">
        <v>74</v>
      </c>
      <c r="BQ964" t="s">
        <v>74</v>
      </c>
      <c r="BR964" t="s">
        <v>100</v>
      </c>
      <c r="BS964" t="s">
        <v>15048</v>
      </c>
      <c r="BT964" t="str">
        <f>HYPERLINK("https%3A%2F%2Fwww.webofscience.com%2Fwos%2Fwoscc%2Ffull-record%2FWOS:000240221100026","View Full Record in Web of Science")</f>
        <v>View Full Record in Web of Science</v>
      </c>
    </row>
    <row r="965" spans="1:72" x14ac:dyDescent="0.15">
      <c r="A965" t="s">
        <v>72</v>
      </c>
      <c r="B965" t="s">
        <v>15049</v>
      </c>
      <c r="C965" t="s">
        <v>74</v>
      </c>
      <c r="D965" t="s">
        <v>74</v>
      </c>
      <c r="E965" t="s">
        <v>74</v>
      </c>
      <c r="F965" t="s">
        <v>15050</v>
      </c>
      <c r="G965" t="s">
        <v>74</v>
      </c>
      <c r="H965" t="s">
        <v>74</v>
      </c>
      <c r="I965" t="s">
        <v>15051</v>
      </c>
      <c r="J965" t="s">
        <v>7439</v>
      </c>
      <c r="K965" t="s">
        <v>74</v>
      </c>
      <c r="L965" t="s">
        <v>74</v>
      </c>
      <c r="M965" t="s">
        <v>78</v>
      </c>
      <c r="N965" t="s">
        <v>79</v>
      </c>
      <c r="O965" t="s">
        <v>74</v>
      </c>
      <c r="P965" t="s">
        <v>74</v>
      </c>
      <c r="Q965" t="s">
        <v>74</v>
      </c>
      <c r="R965" t="s">
        <v>74</v>
      </c>
      <c r="S965" t="s">
        <v>74</v>
      </c>
      <c r="T965" t="s">
        <v>74</v>
      </c>
      <c r="U965" t="s">
        <v>15052</v>
      </c>
      <c r="V965" t="s">
        <v>15053</v>
      </c>
      <c r="W965" t="s">
        <v>15054</v>
      </c>
      <c r="X965" t="s">
        <v>15055</v>
      </c>
      <c r="Y965" t="s">
        <v>15056</v>
      </c>
      <c r="Z965" t="s">
        <v>15057</v>
      </c>
      <c r="AA965" t="s">
        <v>15058</v>
      </c>
      <c r="AB965" t="s">
        <v>15059</v>
      </c>
      <c r="AC965" t="s">
        <v>74</v>
      </c>
      <c r="AD965" t="s">
        <v>74</v>
      </c>
      <c r="AE965" t="s">
        <v>74</v>
      </c>
      <c r="AF965" t="s">
        <v>74</v>
      </c>
      <c r="AG965">
        <v>46</v>
      </c>
      <c r="AH965">
        <v>18</v>
      </c>
      <c r="AI965">
        <v>19</v>
      </c>
      <c r="AJ965">
        <v>1</v>
      </c>
      <c r="AK965">
        <v>13</v>
      </c>
      <c r="AL965" t="s">
        <v>7239</v>
      </c>
      <c r="AM965" t="s">
        <v>5498</v>
      </c>
      <c r="AN965" t="s">
        <v>7240</v>
      </c>
      <c r="AO965" t="s">
        <v>7448</v>
      </c>
      <c r="AP965" t="s">
        <v>7449</v>
      </c>
      <c r="AQ965" t="s">
        <v>74</v>
      </c>
      <c r="AR965" t="s">
        <v>7450</v>
      </c>
      <c r="AS965" t="s">
        <v>7451</v>
      </c>
      <c r="AT965" t="s">
        <v>15060</v>
      </c>
      <c r="AU965">
        <v>2006</v>
      </c>
      <c r="AV965">
        <v>111</v>
      </c>
      <c r="AW965" t="s">
        <v>14988</v>
      </c>
      <c r="AX965" t="s">
        <v>74</v>
      </c>
      <c r="AY965" t="s">
        <v>74</v>
      </c>
      <c r="AZ965" t="s">
        <v>74</v>
      </c>
      <c r="BA965" t="s">
        <v>74</v>
      </c>
      <c r="BB965" t="s">
        <v>74</v>
      </c>
      <c r="BC965" t="s">
        <v>74</v>
      </c>
      <c r="BD965" t="s">
        <v>15061</v>
      </c>
      <c r="BE965" t="s">
        <v>15062</v>
      </c>
      <c r="BF965" t="str">
        <f>HYPERLINK("http://dx.doi.org/10.1029/2005JD006951","http://dx.doi.org/10.1029/2005JD006951")</f>
        <v>http://dx.doi.org/10.1029/2005JD006951</v>
      </c>
      <c r="BG965" t="s">
        <v>74</v>
      </c>
      <c r="BH965" t="s">
        <v>74</v>
      </c>
      <c r="BI965">
        <v>16</v>
      </c>
      <c r="BJ965" t="s">
        <v>3208</v>
      </c>
      <c r="BK965" t="s">
        <v>97</v>
      </c>
      <c r="BL965" t="s">
        <v>3208</v>
      </c>
      <c r="BM965" t="s">
        <v>15063</v>
      </c>
      <c r="BN965" t="s">
        <v>74</v>
      </c>
      <c r="BO965" t="s">
        <v>74</v>
      </c>
      <c r="BP965" t="s">
        <v>74</v>
      </c>
      <c r="BQ965" t="s">
        <v>74</v>
      </c>
      <c r="BR965" t="s">
        <v>100</v>
      </c>
      <c r="BS965" t="s">
        <v>15064</v>
      </c>
      <c r="BT965" t="str">
        <f>HYPERLINK("https%3A%2F%2Fwww.webofscience.com%2Fwos%2Fwoscc%2Ffull-record%2FWOS:000240100400007","View Full Record in Web of Science")</f>
        <v>View Full Record in Web of Science</v>
      </c>
    </row>
    <row r="966" spans="1:72" x14ac:dyDescent="0.15">
      <c r="A966" t="s">
        <v>72</v>
      </c>
      <c r="B966" t="s">
        <v>15065</v>
      </c>
      <c r="C966" t="s">
        <v>74</v>
      </c>
      <c r="D966" t="s">
        <v>74</v>
      </c>
      <c r="E966" t="s">
        <v>74</v>
      </c>
      <c r="F966" t="s">
        <v>15066</v>
      </c>
      <c r="G966" t="s">
        <v>74</v>
      </c>
      <c r="H966" t="s">
        <v>74</v>
      </c>
      <c r="I966" t="s">
        <v>15067</v>
      </c>
      <c r="J966" t="s">
        <v>15068</v>
      </c>
      <c r="K966" t="s">
        <v>74</v>
      </c>
      <c r="L966" t="s">
        <v>74</v>
      </c>
      <c r="M966" t="s">
        <v>78</v>
      </c>
      <c r="N966" t="s">
        <v>79</v>
      </c>
      <c r="O966" t="s">
        <v>74</v>
      </c>
      <c r="P966" t="s">
        <v>74</v>
      </c>
      <c r="Q966" t="s">
        <v>74</v>
      </c>
      <c r="R966" t="s">
        <v>74</v>
      </c>
      <c r="S966" t="s">
        <v>74</v>
      </c>
      <c r="T966" t="s">
        <v>15069</v>
      </c>
      <c r="U966" t="s">
        <v>15070</v>
      </c>
      <c r="V966" t="s">
        <v>15071</v>
      </c>
      <c r="W966" t="s">
        <v>15072</v>
      </c>
      <c r="X966" t="s">
        <v>15073</v>
      </c>
      <c r="Y966" t="s">
        <v>15074</v>
      </c>
      <c r="Z966" t="s">
        <v>15075</v>
      </c>
      <c r="AA966" t="s">
        <v>15076</v>
      </c>
      <c r="AB966" t="s">
        <v>15077</v>
      </c>
      <c r="AC966" t="s">
        <v>74</v>
      </c>
      <c r="AD966" t="s">
        <v>74</v>
      </c>
      <c r="AE966" t="s">
        <v>74</v>
      </c>
      <c r="AF966" t="s">
        <v>74</v>
      </c>
      <c r="AG966">
        <v>27</v>
      </c>
      <c r="AH966">
        <v>1</v>
      </c>
      <c r="AI966">
        <v>1</v>
      </c>
      <c r="AJ966">
        <v>0</v>
      </c>
      <c r="AK966">
        <v>0</v>
      </c>
      <c r="AL966" t="s">
        <v>2467</v>
      </c>
      <c r="AM966" t="s">
        <v>818</v>
      </c>
      <c r="AN966" t="s">
        <v>2468</v>
      </c>
      <c r="AO966" t="s">
        <v>15078</v>
      </c>
      <c r="AP966" t="s">
        <v>15079</v>
      </c>
      <c r="AQ966" t="s">
        <v>74</v>
      </c>
      <c r="AR966" t="s">
        <v>15080</v>
      </c>
      <c r="AS966" t="s">
        <v>15081</v>
      </c>
      <c r="AT966" t="s">
        <v>15060</v>
      </c>
      <c r="AU966">
        <v>2006</v>
      </c>
      <c r="AV966">
        <v>58</v>
      </c>
      <c r="AW966">
        <v>4</v>
      </c>
      <c r="AX966" t="s">
        <v>74</v>
      </c>
      <c r="AY966" t="s">
        <v>74</v>
      </c>
      <c r="AZ966" t="s">
        <v>74</v>
      </c>
      <c r="BA966" t="s">
        <v>74</v>
      </c>
      <c r="BB966">
        <v>753</v>
      </c>
      <c r="BC966">
        <v>757</v>
      </c>
      <c r="BD966" t="s">
        <v>74</v>
      </c>
      <c r="BE966" t="s">
        <v>15082</v>
      </c>
      <c r="BF966" t="str">
        <f>HYPERLINK("http://dx.doi.org/10.1093/pasj/58.4.753","http://dx.doi.org/10.1093/pasj/58.4.753")</f>
        <v>http://dx.doi.org/10.1093/pasj/58.4.753</v>
      </c>
      <c r="BG966" t="s">
        <v>74</v>
      </c>
      <c r="BH966" t="s">
        <v>74</v>
      </c>
      <c r="BI966">
        <v>5</v>
      </c>
      <c r="BJ966" t="s">
        <v>801</v>
      </c>
      <c r="BK966" t="s">
        <v>97</v>
      </c>
      <c r="BL966" t="s">
        <v>801</v>
      </c>
      <c r="BM966" t="s">
        <v>15083</v>
      </c>
      <c r="BN966" t="s">
        <v>74</v>
      </c>
      <c r="BO966" t="s">
        <v>74</v>
      </c>
      <c r="BP966" t="s">
        <v>74</v>
      </c>
      <c r="BQ966" t="s">
        <v>74</v>
      </c>
      <c r="BR966" t="s">
        <v>100</v>
      </c>
      <c r="BS966" t="s">
        <v>15084</v>
      </c>
      <c r="BT966" t="str">
        <f>HYPERLINK("https%3A%2F%2Fwww.webofscience.com%2Fwos%2Fwoscc%2Ffull-record%2FWOS:000240376000011","View Full Record in Web of Science")</f>
        <v>View Full Record in Web of Science</v>
      </c>
    </row>
    <row r="967" spans="1:72" x14ac:dyDescent="0.15">
      <c r="A967" t="s">
        <v>72</v>
      </c>
      <c r="B967" t="s">
        <v>15085</v>
      </c>
      <c r="C967" t="s">
        <v>74</v>
      </c>
      <c r="D967" t="s">
        <v>74</v>
      </c>
      <c r="E967" t="s">
        <v>74</v>
      </c>
      <c r="F967" t="s">
        <v>15086</v>
      </c>
      <c r="G967" t="s">
        <v>74</v>
      </c>
      <c r="H967" t="s">
        <v>74</v>
      </c>
      <c r="I967" t="s">
        <v>15087</v>
      </c>
      <c r="J967" t="s">
        <v>9700</v>
      </c>
      <c r="K967" t="s">
        <v>74</v>
      </c>
      <c r="L967" t="s">
        <v>74</v>
      </c>
      <c r="M967" t="s">
        <v>78</v>
      </c>
      <c r="N967" t="s">
        <v>79</v>
      </c>
      <c r="O967" t="s">
        <v>74</v>
      </c>
      <c r="P967" t="s">
        <v>74</v>
      </c>
      <c r="Q967" t="s">
        <v>74</v>
      </c>
      <c r="R967" t="s">
        <v>74</v>
      </c>
      <c r="S967" t="s">
        <v>74</v>
      </c>
      <c r="T967" t="s">
        <v>15088</v>
      </c>
      <c r="U967" t="s">
        <v>15089</v>
      </c>
      <c r="V967" t="s">
        <v>15090</v>
      </c>
      <c r="W967" t="s">
        <v>15091</v>
      </c>
      <c r="X967" t="s">
        <v>15092</v>
      </c>
      <c r="Y967" t="s">
        <v>15093</v>
      </c>
      <c r="Z967" t="s">
        <v>15094</v>
      </c>
      <c r="AA967" t="s">
        <v>15095</v>
      </c>
      <c r="AB967" t="s">
        <v>15096</v>
      </c>
      <c r="AC967" t="s">
        <v>74</v>
      </c>
      <c r="AD967" t="s">
        <v>74</v>
      </c>
      <c r="AE967" t="s">
        <v>74</v>
      </c>
      <c r="AF967" t="s">
        <v>74</v>
      </c>
      <c r="AG967">
        <v>51</v>
      </c>
      <c r="AH967">
        <v>8</v>
      </c>
      <c r="AI967">
        <v>8</v>
      </c>
      <c r="AJ967">
        <v>0</v>
      </c>
      <c r="AK967">
        <v>13</v>
      </c>
      <c r="AL967" t="s">
        <v>902</v>
      </c>
      <c r="AM967" t="s">
        <v>903</v>
      </c>
      <c r="AN967" t="s">
        <v>5098</v>
      </c>
      <c r="AO967" t="s">
        <v>9708</v>
      </c>
      <c r="AP967" t="s">
        <v>74</v>
      </c>
      <c r="AQ967" t="s">
        <v>74</v>
      </c>
      <c r="AR967" t="s">
        <v>9710</v>
      </c>
      <c r="AS967" t="s">
        <v>9711</v>
      </c>
      <c r="AT967" t="s">
        <v>15097</v>
      </c>
      <c r="AU967">
        <v>2006</v>
      </c>
      <c r="AV967">
        <v>230</v>
      </c>
      <c r="AW967" t="s">
        <v>1283</v>
      </c>
      <c r="AX967" t="s">
        <v>74</v>
      </c>
      <c r="AY967" t="s">
        <v>74</v>
      </c>
      <c r="AZ967" t="s">
        <v>74</v>
      </c>
      <c r="BA967" t="s">
        <v>74</v>
      </c>
      <c r="BB967">
        <v>147</v>
      </c>
      <c r="BC967">
        <v>159</v>
      </c>
      <c r="BD967" t="s">
        <v>74</v>
      </c>
      <c r="BE967" t="s">
        <v>15098</v>
      </c>
      <c r="BF967" t="str">
        <f>HYPERLINK("http://dx.doi.org/10.1016/j.margeo.2006.04.005","http://dx.doi.org/10.1016/j.margeo.2006.04.005")</f>
        <v>http://dx.doi.org/10.1016/j.margeo.2006.04.005</v>
      </c>
      <c r="BG967" t="s">
        <v>74</v>
      </c>
      <c r="BH967" t="s">
        <v>74</v>
      </c>
      <c r="BI967">
        <v>13</v>
      </c>
      <c r="BJ967" t="s">
        <v>9714</v>
      </c>
      <c r="BK967" t="s">
        <v>97</v>
      </c>
      <c r="BL967" t="s">
        <v>6300</v>
      </c>
      <c r="BM967" t="s">
        <v>15099</v>
      </c>
      <c r="BN967" t="s">
        <v>74</v>
      </c>
      <c r="BO967" t="s">
        <v>74</v>
      </c>
      <c r="BP967" t="s">
        <v>74</v>
      </c>
      <c r="BQ967" t="s">
        <v>74</v>
      </c>
      <c r="BR967" t="s">
        <v>100</v>
      </c>
      <c r="BS967" t="s">
        <v>15100</v>
      </c>
      <c r="BT967" t="str">
        <f>HYPERLINK("https%3A%2F%2Fwww.webofscience.com%2Fwos%2Fwoscc%2Ffull-record%2FWOS:000240152400001","View Full Record in Web of Science")</f>
        <v>View Full Record in Web of Science</v>
      </c>
    </row>
    <row r="968" spans="1:72" x14ac:dyDescent="0.15">
      <c r="A968" t="s">
        <v>72</v>
      </c>
      <c r="B968" t="s">
        <v>15101</v>
      </c>
      <c r="C968" t="s">
        <v>74</v>
      </c>
      <c r="D968" t="s">
        <v>74</v>
      </c>
      <c r="E968" t="s">
        <v>74</v>
      </c>
      <c r="F968" t="s">
        <v>15102</v>
      </c>
      <c r="G968" t="s">
        <v>74</v>
      </c>
      <c r="H968" t="s">
        <v>74</v>
      </c>
      <c r="I968" t="s">
        <v>15103</v>
      </c>
      <c r="J968" t="s">
        <v>9700</v>
      </c>
      <c r="K968" t="s">
        <v>74</v>
      </c>
      <c r="L968" t="s">
        <v>74</v>
      </c>
      <c r="M968" t="s">
        <v>78</v>
      </c>
      <c r="N968" t="s">
        <v>79</v>
      </c>
      <c r="O968" t="s">
        <v>74</v>
      </c>
      <c r="P968" t="s">
        <v>74</v>
      </c>
      <c r="Q968" t="s">
        <v>74</v>
      </c>
      <c r="R968" t="s">
        <v>74</v>
      </c>
      <c r="S968" t="s">
        <v>74</v>
      </c>
      <c r="T968" t="s">
        <v>15104</v>
      </c>
      <c r="U968" t="s">
        <v>15105</v>
      </c>
      <c r="V968" t="s">
        <v>15106</v>
      </c>
      <c r="W968" t="s">
        <v>15107</v>
      </c>
      <c r="X968" t="s">
        <v>15108</v>
      </c>
      <c r="Y968" t="s">
        <v>15109</v>
      </c>
      <c r="Z968" t="s">
        <v>15110</v>
      </c>
      <c r="AA968" t="s">
        <v>15111</v>
      </c>
      <c r="AB968" t="s">
        <v>15112</v>
      </c>
      <c r="AC968" t="s">
        <v>74</v>
      </c>
      <c r="AD968" t="s">
        <v>74</v>
      </c>
      <c r="AE968" t="s">
        <v>74</v>
      </c>
      <c r="AF968" t="s">
        <v>74</v>
      </c>
      <c r="AG968">
        <v>87</v>
      </c>
      <c r="AH968">
        <v>6</v>
      </c>
      <c r="AI968">
        <v>9</v>
      </c>
      <c r="AJ968">
        <v>0</v>
      </c>
      <c r="AK968">
        <v>12</v>
      </c>
      <c r="AL968" t="s">
        <v>2829</v>
      </c>
      <c r="AM968" t="s">
        <v>903</v>
      </c>
      <c r="AN968" t="s">
        <v>2830</v>
      </c>
      <c r="AO968" t="s">
        <v>9708</v>
      </c>
      <c r="AP968" t="s">
        <v>9709</v>
      </c>
      <c r="AQ968" t="s">
        <v>74</v>
      </c>
      <c r="AR968" t="s">
        <v>9710</v>
      </c>
      <c r="AS968" t="s">
        <v>9711</v>
      </c>
      <c r="AT968" t="s">
        <v>15097</v>
      </c>
      <c r="AU968">
        <v>2006</v>
      </c>
      <c r="AV968">
        <v>230</v>
      </c>
      <c r="AW968" t="s">
        <v>1283</v>
      </c>
      <c r="AX968" t="s">
        <v>74</v>
      </c>
      <c r="AY968" t="s">
        <v>74</v>
      </c>
      <c r="AZ968" t="s">
        <v>74</v>
      </c>
      <c r="BA968" t="s">
        <v>74</v>
      </c>
      <c r="BB968">
        <v>179</v>
      </c>
      <c r="BC968">
        <v>197</v>
      </c>
      <c r="BD968" t="s">
        <v>74</v>
      </c>
      <c r="BE968" t="s">
        <v>15113</v>
      </c>
      <c r="BF968" t="str">
        <f>HYPERLINK("http://dx.doi.org/10.1016/j.margeo.2006.05.002","http://dx.doi.org/10.1016/j.margeo.2006.05.002")</f>
        <v>http://dx.doi.org/10.1016/j.margeo.2006.05.002</v>
      </c>
      <c r="BG968" t="s">
        <v>74</v>
      </c>
      <c r="BH968" t="s">
        <v>74</v>
      </c>
      <c r="BI968">
        <v>19</v>
      </c>
      <c r="BJ968" t="s">
        <v>9714</v>
      </c>
      <c r="BK968" t="s">
        <v>97</v>
      </c>
      <c r="BL968" t="s">
        <v>6300</v>
      </c>
      <c r="BM968" t="s">
        <v>15099</v>
      </c>
      <c r="BN968" t="s">
        <v>74</v>
      </c>
      <c r="BO968" t="s">
        <v>74</v>
      </c>
      <c r="BP968" t="s">
        <v>74</v>
      </c>
      <c r="BQ968" t="s">
        <v>74</v>
      </c>
      <c r="BR968" t="s">
        <v>100</v>
      </c>
      <c r="BS968" t="s">
        <v>15114</v>
      </c>
      <c r="BT968" t="str">
        <f>HYPERLINK("https%3A%2F%2Fwww.webofscience.com%2Fwos%2Fwoscc%2Ffull-record%2FWOS:000240152400003","View Full Record in Web of Science")</f>
        <v>View Full Record in Web of Science</v>
      </c>
    </row>
    <row r="969" spans="1:72" x14ac:dyDescent="0.15">
      <c r="A969" t="s">
        <v>72</v>
      </c>
      <c r="B969" t="s">
        <v>15115</v>
      </c>
      <c r="C969" t="s">
        <v>74</v>
      </c>
      <c r="D969" t="s">
        <v>74</v>
      </c>
      <c r="E969" t="s">
        <v>74</v>
      </c>
      <c r="F969" t="s">
        <v>15116</v>
      </c>
      <c r="G969" t="s">
        <v>74</v>
      </c>
      <c r="H969" t="s">
        <v>74</v>
      </c>
      <c r="I969" t="s">
        <v>15117</v>
      </c>
      <c r="J969" t="s">
        <v>7251</v>
      </c>
      <c r="K969" t="s">
        <v>74</v>
      </c>
      <c r="L969" t="s">
        <v>74</v>
      </c>
      <c r="M969" t="s">
        <v>78</v>
      </c>
      <c r="N969" t="s">
        <v>79</v>
      </c>
      <c r="O969" t="s">
        <v>74</v>
      </c>
      <c r="P969" t="s">
        <v>74</v>
      </c>
      <c r="Q969" t="s">
        <v>74</v>
      </c>
      <c r="R969" t="s">
        <v>74</v>
      </c>
      <c r="S969" t="s">
        <v>74</v>
      </c>
      <c r="T969" t="s">
        <v>74</v>
      </c>
      <c r="U969" t="s">
        <v>15118</v>
      </c>
      <c r="V969" t="s">
        <v>15119</v>
      </c>
      <c r="W969" t="s">
        <v>15120</v>
      </c>
      <c r="X969" t="s">
        <v>15121</v>
      </c>
      <c r="Y969" t="s">
        <v>15122</v>
      </c>
      <c r="Z969" t="s">
        <v>15123</v>
      </c>
      <c r="AA969" t="s">
        <v>15124</v>
      </c>
      <c r="AB969" t="s">
        <v>15125</v>
      </c>
      <c r="AC969" t="s">
        <v>15126</v>
      </c>
      <c r="AD969" t="s">
        <v>158</v>
      </c>
      <c r="AE969" t="s">
        <v>74</v>
      </c>
      <c r="AF969" t="s">
        <v>74</v>
      </c>
      <c r="AG969">
        <v>15</v>
      </c>
      <c r="AH969">
        <v>18</v>
      </c>
      <c r="AI969">
        <v>19</v>
      </c>
      <c r="AJ969">
        <v>0</v>
      </c>
      <c r="AK969">
        <v>8</v>
      </c>
      <c r="AL969" t="s">
        <v>7239</v>
      </c>
      <c r="AM969" t="s">
        <v>5498</v>
      </c>
      <c r="AN969" t="s">
        <v>7240</v>
      </c>
      <c r="AO969" t="s">
        <v>7257</v>
      </c>
      <c r="AP969" t="s">
        <v>74</v>
      </c>
      <c r="AQ969" t="s">
        <v>74</v>
      </c>
      <c r="AR969" t="s">
        <v>7258</v>
      </c>
      <c r="AS969" t="s">
        <v>7259</v>
      </c>
      <c r="AT969" t="s">
        <v>15127</v>
      </c>
      <c r="AU969">
        <v>2006</v>
      </c>
      <c r="AV969">
        <v>33</v>
      </c>
      <c r="AW969">
        <v>16</v>
      </c>
      <c r="AX969" t="s">
        <v>74</v>
      </c>
      <c r="AY969" t="s">
        <v>74</v>
      </c>
      <c r="AZ969" t="s">
        <v>74</v>
      </c>
      <c r="BA969" t="s">
        <v>74</v>
      </c>
      <c r="BB969" t="s">
        <v>74</v>
      </c>
      <c r="BC969" t="s">
        <v>74</v>
      </c>
      <c r="BD969" t="s">
        <v>15128</v>
      </c>
      <c r="BE969" t="s">
        <v>15129</v>
      </c>
      <c r="BF969" t="str">
        <f>HYPERLINK("http://dx.doi.org/10.1029/2006GL025926","http://dx.doi.org/10.1029/2006GL025926")</f>
        <v>http://dx.doi.org/10.1029/2006GL025926</v>
      </c>
      <c r="BG969" t="s">
        <v>74</v>
      </c>
      <c r="BH969" t="s">
        <v>74</v>
      </c>
      <c r="BI969">
        <v>4</v>
      </c>
      <c r="BJ969" t="s">
        <v>685</v>
      </c>
      <c r="BK969" t="s">
        <v>97</v>
      </c>
      <c r="BL969" t="s">
        <v>642</v>
      </c>
      <c r="BM969" t="s">
        <v>15130</v>
      </c>
      <c r="BN969" t="s">
        <v>74</v>
      </c>
      <c r="BO969" t="s">
        <v>7472</v>
      </c>
      <c r="BP969" t="s">
        <v>74</v>
      </c>
      <c r="BQ969" t="s">
        <v>74</v>
      </c>
      <c r="BR969" t="s">
        <v>100</v>
      </c>
      <c r="BS969" t="s">
        <v>15131</v>
      </c>
      <c r="BT969" t="str">
        <f>HYPERLINK("https%3A%2F%2Fwww.webofscience.com%2Fwos%2Fwoscc%2Ffull-record%2FWOS:000240099300001","View Full Record in Web of Science")</f>
        <v>View Full Record in Web of Science</v>
      </c>
    </row>
    <row r="970" spans="1:72" x14ac:dyDescent="0.15">
      <c r="A970" t="s">
        <v>72</v>
      </c>
      <c r="B970" t="s">
        <v>15132</v>
      </c>
      <c r="C970" t="s">
        <v>74</v>
      </c>
      <c r="D970" t="s">
        <v>74</v>
      </c>
      <c r="E970" t="s">
        <v>74</v>
      </c>
      <c r="F970" t="s">
        <v>15133</v>
      </c>
      <c r="G970" t="s">
        <v>74</v>
      </c>
      <c r="H970" t="s">
        <v>74</v>
      </c>
      <c r="I970" t="s">
        <v>15134</v>
      </c>
      <c r="J970" t="s">
        <v>7251</v>
      </c>
      <c r="K970" t="s">
        <v>74</v>
      </c>
      <c r="L970" t="s">
        <v>74</v>
      </c>
      <c r="M970" t="s">
        <v>78</v>
      </c>
      <c r="N970" t="s">
        <v>79</v>
      </c>
      <c r="O970" t="s">
        <v>74</v>
      </c>
      <c r="P970" t="s">
        <v>74</v>
      </c>
      <c r="Q970" t="s">
        <v>74</v>
      </c>
      <c r="R970" t="s">
        <v>74</v>
      </c>
      <c r="S970" t="s">
        <v>74</v>
      </c>
      <c r="T970" t="s">
        <v>74</v>
      </c>
      <c r="U970" t="s">
        <v>15135</v>
      </c>
      <c r="V970" t="s">
        <v>15136</v>
      </c>
      <c r="W970" t="s">
        <v>15137</v>
      </c>
      <c r="X970" t="s">
        <v>15138</v>
      </c>
      <c r="Y970" t="s">
        <v>15139</v>
      </c>
      <c r="Z970" t="s">
        <v>15140</v>
      </c>
      <c r="AA970" t="s">
        <v>74</v>
      </c>
      <c r="AB970" t="s">
        <v>15141</v>
      </c>
      <c r="AC970" t="s">
        <v>74</v>
      </c>
      <c r="AD970" t="s">
        <v>74</v>
      </c>
      <c r="AE970" t="s">
        <v>74</v>
      </c>
      <c r="AF970" t="s">
        <v>74</v>
      </c>
      <c r="AG970">
        <v>8</v>
      </c>
      <c r="AH970">
        <v>9</v>
      </c>
      <c r="AI970">
        <v>10</v>
      </c>
      <c r="AJ970">
        <v>0</v>
      </c>
      <c r="AK970">
        <v>3</v>
      </c>
      <c r="AL970" t="s">
        <v>7239</v>
      </c>
      <c r="AM970" t="s">
        <v>5498</v>
      </c>
      <c r="AN970" t="s">
        <v>7240</v>
      </c>
      <c r="AO970" t="s">
        <v>7257</v>
      </c>
      <c r="AP970" t="s">
        <v>7394</v>
      </c>
      <c r="AQ970" t="s">
        <v>74</v>
      </c>
      <c r="AR970" t="s">
        <v>7258</v>
      </c>
      <c r="AS970" t="s">
        <v>7259</v>
      </c>
      <c r="AT970" t="s">
        <v>15127</v>
      </c>
      <c r="AU970">
        <v>2006</v>
      </c>
      <c r="AV970">
        <v>33</v>
      </c>
      <c r="AW970">
        <v>16</v>
      </c>
      <c r="AX970" t="s">
        <v>74</v>
      </c>
      <c r="AY970" t="s">
        <v>74</v>
      </c>
      <c r="AZ970" t="s">
        <v>74</v>
      </c>
      <c r="BA970" t="s">
        <v>74</v>
      </c>
      <c r="BB970" t="s">
        <v>74</v>
      </c>
      <c r="BC970" t="s">
        <v>74</v>
      </c>
      <c r="BD970" t="s">
        <v>15142</v>
      </c>
      <c r="BE970" t="s">
        <v>15143</v>
      </c>
      <c r="BF970" t="str">
        <f>HYPERLINK("http://dx.doi.org/10.1029/2006GL026463","http://dx.doi.org/10.1029/2006GL026463")</f>
        <v>http://dx.doi.org/10.1029/2006GL026463</v>
      </c>
      <c r="BG970" t="s">
        <v>74</v>
      </c>
      <c r="BH970" t="s">
        <v>74</v>
      </c>
      <c r="BI970">
        <v>4</v>
      </c>
      <c r="BJ970" t="s">
        <v>685</v>
      </c>
      <c r="BK970" t="s">
        <v>97</v>
      </c>
      <c r="BL970" t="s">
        <v>642</v>
      </c>
      <c r="BM970" t="s">
        <v>15130</v>
      </c>
      <c r="BN970" t="s">
        <v>74</v>
      </c>
      <c r="BO970" t="s">
        <v>124</v>
      </c>
      <c r="BP970" t="s">
        <v>74</v>
      </c>
      <c r="BQ970" t="s">
        <v>74</v>
      </c>
      <c r="BR970" t="s">
        <v>100</v>
      </c>
      <c r="BS970" t="s">
        <v>15144</v>
      </c>
      <c r="BT970" t="str">
        <f>HYPERLINK("https%3A%2F%2Fwww.webofscience.com%2Fwos%2Fwoscc%2Ffull-record%2FWOS:000240099300003","View Full Record in Web of Science")</f>
        <v>View Full Record in Web of Science</v>
      </c>
    </row>
    <row r="971" spans="1:72" x14ac:dyDescent="0.15">
      <c r="A971" t="s">
        <v>72</v>
      </c>
      <c r="B971" t="s">
        <v>15145</v>
      </c>
      <c r="C971" t="s">
        <v>74</v>
      </c>
      <c r="D971" t="s">
        <v>74</v>
      </c>
      <c r="E971" t="s">
        <v>74</v>
      </c>
      <c r="F971" t="s">
        <v>15146</v>
      </c>
      <c r="G971" t="s">
        <v>74</v>
      </c>
      <c r="H971" t="s">
        <v>74</v>
      </c>
      <c r="I971" t="s">
        <v>15147</v>
      </c>
      <c r="J971" t="s">
        <v>342</v>
      </c>
      <c r="K971" t="s">
        <v>74</v>
      </c>
      <c r="L971" t="s">
        <v>74</v>
      </c>
      <c r="M971" t="s">
        <v>78</v>
      </c>
      <c r="N971" t="s">
        <v>79</v>
      </c>
      <c r="O971" t="s">
        <v>74</v>
      </c>
      <c r="P971" t="s">
        <v>74</v>
      </c>
      <c r="Q971" t="s">
        <v>74</v>
      </c>
      <c r="R971" t="s">
        <v>74</v>
      </c>
      <c r="S971" t="s">
        <v>74</v>
      </c>
      <c r="T971" t="s">
        <v>74</v>
      </c>
      <c r="U971" t="s">
        <v>15148</v>
      </c>
      <c r="V971" t="s">
        <v>15149</v>
      </c>
      <c r="W971" t="s">
        <v>15150</v>
      </c>
      <c r="X971" t="s">
        <v>15151</v>
      </c>
      <c r="Y971" t="s">
        <v>15152</v>
      </c>
      <c r="Z971" t="s">
        <v>15153</v>
      </c>
      <c r="AA971" t="s">
        <v>15154</v>
      </c>
      <c r="AB971" t="s">
        <v>15155</v>
      </c>
      <c r="AC971" t="s">
        <v>74</v>
      </c>
      <c r="AD971" t="s">
        <v>74</v>
      </c>
      <c r="AE971" t="s">
        <v>74</v>
      </c>
      <c r="AF971" t="s">
        <v>74</v>
      </c>
      <c r="AG971">
        <v>57</v>
      </c>
      <c r="AH971">
        <v>57</v>
      </c>
      <c r="AI971">
        <v>64</v>
      </c>
      <c r="AJ971">
        <v>7</v>
      </c>
      <c r="AK971">
        <v>79</v>
      </c>
      <c r="AL971" t="s">
        <v>351</v>
      </c>
      <c r="AM971" t="s">
        <v>352</v>
      </c>
      <c r="AN971" t="s">
        <v>353</v>
      </c>
      <c r="AO971" t="s">
        <v>354</v>
      </c>
      <c r="AP971" t="s">
        <v>74</v>
      </c>
      <c r="AQ971" t="s">
        <v>74</v>
      </c>
      <c r="AR971" t="s">
        <v>356</v>
      </c>
      <c r="AS971" t="s">
        <v>357</v>
      </c>
      <c r="AT971" t="s">
        <v>15156</v>
      </c>
      <c r="AU971">
        <v>2006</v>
      </c>
      <c r="AV971">
        <v>6</v>
      </c>
      <c r="AW971" t="s">
        <v>74</v>
      </c>
      <c r="AX971" t="s">
        <v>74</v>
      </c>
      <c r="AY971" t="s">
        <v>74</v>
      </c>
      <c r="AZ971" t="s">
        <v>74</v>
      </c>
      <c r="BA971" t="s">
        <v>74</v>
      </c>
      <c r="BB971">
        <v>3407</v>
      </c>
      <c r="BC971">
        <v>3421</v>
      </c>
      <c r="BD971" t="s">
        <v>74</v>
      </c>
      <c r="BE971" t="s">
        <v>15157</v>
      </c>
      <c r="BF971" t="str">
        <f>HYPERLINK("http://dx.doi.org/10.5194/acp-6-3407-2006","http://dx.doi.org/10.5194/acp-6-3407-2006")</f>
        <v>http://dx.doi.org/10.5194/acp-6-3407-2006</v>
      </c>
      <c r="BG971" t="s">
        <v>74</v>
      </c>
      <c r="BH971" t="s">
        <v>74</v>
      </c>
      <c r="BI971">
        <v>15</v>
      </c>
      <c r="BJ971" t="s">
        <v>359</v>
      </c>
      <c r="BK971" t="s">
        <v>97</v>
      </c>
      <c r="BL971" t="s">
        <v>360</v>
      </c>
      <c r="BM971" t="s">
        <v>15158</v>
      </c>
      <c r="BN971" t="s">
        <v>74</v>
      </c>
      <c r="BO971" t="s">
        <v>1063</v>
      </c>
      <c r="BP971" t="s">
        <v>74</v>
      </c>
      <c r="BQ971" t="s">
        <v>74</v>
      </c>
      <c r="BR971" t="s">
        <v>100</v>
      </c>
      <c r="BS971" t="s">
        <v>15159</v>
      </c>
      <c r="BT971" t="str">
        <f>HYPERLINK("https%3A%2F%2Fwww.webofscience.com%2Fwos%2Fwoscc%2Ffull-record%2FWOS:000239907700003","View Full Record in Web of Science")</f>
        <v>View Full Record in Web of Science</v>
      </c>
    </row>
    <row r="972" spans="1:72" x14ac:dyDescent="0.15">
      <c r="A972" t="s">
        <v>72</v>
      </c>
      <c r="B972" t="s">
        <v>15160</v>
      </c>
      <c r="C972" t="s">
        <v>74</v>
      </c>
      <c r="D972" t="s">
        <v>74</v>
      </c>
      <c r="E972" t="s">
        <v>74</v>
      </c>
      <c r="F972" t="s">
        <v>15161</v>
      </c>
      <c r="G972" t="s">
        <v>74</v>
      </c>
      <c r="H972" t="s">
        <v>74</v>
      </c>
      <c r="I972" t="s">
        <v>15162</v>
      </c>
      <c r="J972" t="s">
        <v>15163</v>
      </c>
      <c r="K972" t="s">
        <v>74</v>
      </c>
      <c r="L972" t="s">
        <v>74</v>
      </c>
      <c r="M972" t="s">
        <v>78</v>
      </c>
      <c r="N972" t="s">
        <v>79</v>
      </c>
      <c r="O972" t="s">
        <v>74</v>
      </c>
      <c r="P972" t="s">
        <v>74</v>
      </c>
      <c r="Q972" t="s">
        <v>74</v>
      </c>
      <c r="R972" t="s">
        <v>74</v>
      </c>
      <c r="S972" t="s">
        <v>74</v>
      </c>
      <c r="T972" t="s">
        <v>15164</v>
      </c>
      <c r="U972" t="s">
        <v>15165</v>
      </c>
      <c r="V972" t="s">
        <v>15166</v>
      </c>
      <c r="W972" t="s">
        <v>15167</v>
      </c>
      <c r="X972" t="s">
        <v>15168</v>
      </c>
      <c r="Y972" t="s">
        <v>15169</v>
      </c>
      <c r="Z972" t="s">
        <v>15170</v>
      </c>
      <c r="AA972" t="s">
        <v>15171</v>
      </c>
      <c r="AB972" t="s">
        <v>15172</v>
      </c>
      <c r="AC972" t="s">
        <v>74</v>
      </c>
      <c r="AD972" t="s">
        <v>74</v>
      </c>
      <c r="AE972" t="s">
        <v>74</v>
      </c>
      <c r="AF972" t="s">
        <v>74</v>
      </c>
      <c r="AG972">
        <v>48</v>
      </c>
      <c r="AH972">
        <v>17</v>
      </c>
      <c r="AI972">
        <v>19</v>
      </c>
      <c r="AJ972">
        <v>1</v>
      </c>
      <c r="AK972">
        <v>7</v>
      </c>
      <c r="AL972" t="s">
        <v>902</v>
      </c>
      <c r="AM972" t="s">
        <v>903</v>
      </c>
      <c r="AN972" t="s">
        <v>5098</v>
      </c>
      <c r="AO972" t="s">
        <v>15173</v>
      </c>
      <c r="AP972" t="s">
        <v>74</v>
      </c>
      <c r="AQ972" t="s">
        <v>74</v>
      </c>
      <c r="AR972" t="s">
        <v>15174</v>
      </c>
      <c r="AS972" t="s">
        <v>15175</v>
      </c>
      <c r="AT972" t="s">
        <v>15156</v>
      </c>
      <c r="AU972">
        <v>2006</v>
      </c>
      <c r="AV972">
        <v>580</v>
      </c>
      <c r="AW972">
        <v>19</v>
      </c>
      <c r="AX972" t="s">
        <v>74</v>
      </c>
      <c r="AY972" t="s">
        <v>74</v>
      </c>
      <c r="AZ972" t="s">
        <v>74</v>
      </c>
      <c r="BA972" t="s">
        <v>74</v>
      </c>
      <c r="BB972">
        <v>4639</v>
      </c>
      <c r="BC972">
        <v>4644</v>
      </c>
      <c r="BD972" t="s">
        <v>74</v>
      </c>
      <c r="BE972" t="s">
        <v>15176</v>
      </c>
      <c r="BF972" t="str">
        <f>HYPERLINK("http://dx.doi.org/10.1016/j.febslet.2006.07.043","http://dx.doi.org/10.1016/j.febslet.2006.07.043")</f>
        <v>http://dx.doi.org/10.1016/j.febslet.2006.07.043</v>
      </c>
      <c r="BG972" t="s">
        <v>74</v>
      </c>
      <c r="BH972" t="s">
        <v>74</v>
      </c>
      <c r="BI972">
        <v>6</v>
      </c>
      <c r="BJ972" t="s">
        <v>15177</v>
      </c>
      <c r="BK972" t="s">
        <v>97</v>
      </c>
      <c r="BL972" t="s">
        <v>15177</v>
      </c>
      <c r="BM972" t="s">
        <v>15178</v>
      </c>
      <c r="BN972">
        <v>16879823</v>
      </c>
      <c r="BO972" t="s">
        <v>124</v>
      </c>
      <c r="BP972" t="s">
        <v>74</v>
      </c>
      <c r="BQ972" t="s">
        <v>74</v>
      </c>
      <c r="BR972" t="s">
        <v>100</v>
      </c>
      <c r="BS972" t="s">
        <v>15179</v>
      </c>
      <c r="BT972" t="str">
        <f>HYPERLINK("https%3A%2F%2Fwww.webofscience.com%2Fwos%2Fwoscc%2Ffull-record%2FWOS:000240068400014","View Full Record in Web of Science")</f>
        <v>View Full Record in Web of Science</v>
      </c>
    </row>
    <row r="973" spans="1:72" x14ac:dyDescent="0.15">
      <c r="A973" t="s">
        <v>72</v>
      </c>
      <c r="B973" t="s">
        <v>15180</v>
      </c>
      <c r="C973" t="s">
        <v>74</v>
      </c>
      <c r="D973" t="s">
        <v>74</v>
      </c>
      <c r="E973" t="s">
        <v>74</v>
      </c>
      <c r="F973" t="s">
        <v>15181</v>
      </c>
      <c r="G973" t="s">
        <v>74</v>
      </c>
      <c r="H973" t="s">
        <v>74</v>
      </c>
      <c r="I973" t="s">
        <v>15182</v>
      </c>
      <c r="J973" t="s">
        <v>8275</v>
      </c>
      <c r="K973" t="s">
        <v>74</v>
      </c>
      <c r="L973" t="s">
        <v>74</v>
      </c>
      <c r="M973" t="s">
        <v>78</v>
      </c>
      <c r="N973" t="s">
        <v>79</v>
      </c>
      <c r="O973" t="s">
        <v>74</v>
      </c>
      <c r="P973" t="s">
        <v>74</v>
      </c>
      <c r="Q973" t="s">
        <v>74</v>
      </c>
      <c r="R973" t="s">
        <v>74</v>
      </c>
      <c r="S973" t="s">
        <v>74</v>
      </c>
      <c r="T973" t="s">
        <v>15183</v>
      </c>
      <c r="U973" t="s">
        <v>15184</v>
      </c>
      <c r="V973" t="s">
        <v>15185</v>
      </c>
      <c r="W973" t="s">
        <v>15186</v>
      </c>
      <c r="X973" t="s">
        <v>15187</v>
      </c>
      <c r="Y973" t="s">
        <v>15188</v>
      </c>
      <c r="Z973" t="s">
        <v>74</v>
      </c>
      <c r="AA973" t="s">
        <v>15189</v>
      </c>
      <c r="AB973" t="s">
        <v>15190</v>
      </c>
      <c r="AC973" t="s">
        <v>15191</v>
      </c>
      <c r="AD973" t="s">
        <v>15192</v>
      </c>
      <c r="AE973" t="s">
        <v>74</v>
      </c>
      <c r="AF973" t="s">
        <v>74</v>
      </c>
      <c r="AG973">
        <v>65</v>
      </c>
      <c r="AH973">
        <v>164</v>
      </c>
      <c r="AI973">
        <v>178</v>
      </c>
      <c r="AJ973">
        <v>1</v>
      </c>
      <c r="AK973">
        <v>4</v>
      </c>
      <c r="AL973" t="s">
        <v>258</v>
      </c>
      <c r="AM973" t="s">
        <v>259</v>
      </c>
      <c r="AN973" t="s">
        <v>15193</v>
      </c>
      <c r="AO973" t="s">
        <v>8284</v>
      </c>
      <c r="AP973" t="s">
        <v>15194</v>
      </c>
      <c r="AQ973" t="s">
        <v>74</v>
      </c>
      <c r="AR973" t="s">
        <v>8285</v>
      </c>
      <c r="AS973" t="s">
        <v>8286</v>
      </c>
      <c r="AT973" t="s">
        <v>15195</v>
      </c>
      <c r="AU973">
        <v>2006</v>
      </c>
      <c r="AV973">
        <v>647</v>
      </c>
      <c r="AW973">
        <v>2</v>
      </c>
      <c r="AX973">
        <v>1</v>
      </c>
      <c r="AY973" t="s">
        <v>74</v>
      </c>
      <c r="AZ973" t="s">
        <v>74</v>
      </c>
      <c r="BA973" t="s">
        <v>74</v>
      </c>
      <c r="BB973">
        <v>799</v>
      </c>
      <c r="BC973">
        <v>812</v>
      </c>
      <c r="BD973" t="s">
        <v>74</v>
      </c>
      <c r="BE973" t="s">
        <v>15196</v>
      </c>
      <c r="BF973" t="str">
        <f>HYPERLINK("http://dx.doi.org/10.1086/505558","http://dx.doi.org/10.1086/505558")</f>
        <v>http://dx.doi.org/10.1086/505558</v>
      </c>
      <c r="BG973" t="s">
        <v>74</v>
      </c>
      <c r="BH973" t="s">
        <v>74</v>
      </c>
      <c r="BI973">
        <v>14</v>
      </c>
      <c r="BJ973" t="s">
        <v>801</v>
      </c>
      <c r="BK973" t="s">
        <v>97</v>
      </c>
      <c r="BL973" t="s">
        <v>801</v>
      </c>
      <c r="BM973" t="s">
        <v>15197</v>
      </c>
      <c r="BN973" t="s">
        <v>74</v>
      </c>
      <c r="BO973" t="s">
        <v>15198</v>
      </c>
      <c r="BP973" t="s">
        <v>74</v>
      </c>
      <c r="BQ973" t="s">
        <v>74</v>
      </c>
      <c r="BR973" t="s">
        <v>100</v>
      </c>
      <c r="BS973" t="s">
        <v>15199</v>
      </c>
      <c r="BT973" t="str">
        <f>HYPERLINK("https%3A%2F%2Fwww.webofscience.com%2Fwos%2Fwoscc%2Ffull-record%2FWOS:000239830000007","View Full Record in Web of Science")</f>
        <v>View Full Record in Web of Science</v>
      </c>
    </row>
    <row r="974" spans="1:72" x14ac:dyDescent="0.15">
      <c r="A974" t="s">
        <v>72</v>
      </c>
      <c r="B974" t="s">
        <v>15200</v>
      </c>
      <c r="C974" t="s">
        <v>74</v>
      </c>
      <c r="D974" t="s">
        <v>74</v>
      </c>
      <c r="E974" t="s">
        <v>74</v>
      </c>
      <c r="F974" t="s">
        <v>15201</v>
      </c>
      <c r="G974" t="s">
        <v>74</v>
      </c>
      <c r="H974" t="s">
        <v>74</v>
      </c>
      <c r="I974" t="s">
        <v>15202</v>
      </c>
      <c r="J974" t="s">
        <v>8275</v>
      </c>
      <c r="K974" t="s">
        <v>74</v>
      </c>
      <c r="L974" t="s">
        <v>74</v>
      </c>
      <c r="M974" t="s">
        <v>78</v>
      </c>
      <c r="N974" t="s">
        <v>79</v>
      </c>
      <c r="O974" t="s">
        <v>74</v>
      </c>
      <c r="P974" t="s">
        <v>74</v>
      </c>
      <c r="Q974" t="s">
        <v>74</v>
      </c>
      <c r="R974" t="s">
        <v>74</v>
      </c>
      <c r="S974" t="s">
        <v>74</v>
      </c>
      <c r="T974" t="s">
        <v>15203</v>
      </c>
      <c r="U974" t="s">
        <v>15204</v>
      </c>
      <c r="V974" t="s">
        <v>15205</v>
      </c>
      <c r="W974" t="s">
        <v>15206</v>
      </c>
      <c r="X974" t="s">
        <v>15207</v>
      </c>
      <c r="Y974" t="s">
        <v>15208</v>
      </c>
      <c r="Z974" t="s">
        <v>74</v>
      </c>
      <c r="AA974" t="s">
        <v>15209</v>
      </c>
      <c r="AB974" t="s">
        <v>15210</v>
      </c>
      <c r="AC974" t="s">
        <v>15191</v>
      </c>
      <c r="AD974" t="s">
        <v>15192</v>
      </c>
      <c r="AE974" t="s">
        <v>74</v>
      </c>
      <c r="AF974" t="s">
        <v>74</v>
      </c>
      <c r="AG974">
        <v>48</v>
      </c>
      <c r="AH974">
        <v>221</v>
      </c>
      <c r="AI974">
        <v>255</v>
      </c>
      <c r="AJ974">
        <v>0</v>
      </c>
      <c r="AK974">
        <v>5</v>
      </c>
      <c r="AL974" t="s">
        <v>258</v>
      </c>
      <c r="AM974" t="s">
        <v>259</v>
      </c>
      <c r="AN974" t="s">
        <v>15193</v>
      </c>
      <c r="AO974" t="s">
        <v>8284</v>
      </c>
      <c r="AP974" t="s">
        <v>15194</v>
      </c>
      <c r="AQ974" t="s">
        <v>74</v>
      </c>
      <c r="AR974" t="s">
        <v>8285</v>
      </c>
      <c r="AS974" t="s">
        <v>8286</v>
      </c>
      <c r="AT974" t="s">
        <v>15195</v>
      </c>
      <c r="AU974">
        <v>2006</v>
      </c>
      <c r="AV974">
        <v>647</v>
      </c>
      <c r="AW974">
        <v>2</v>
      </c>
      <c r="AX974">
        <v>1</v>
      </c>
      <c r="AY974" t="s">
        <v>74</v>
      </c>
      <c r="AZ974" t="s">
        <v>74</v>
      </c>
      <c r="BA974" t="s">
        <v>74</v>
      </c>
      <c r="BB974">
        <v>813</v>
      </c>
      <c r="BC974">
        <v>822</v>
      </c>
      <c r="BD974" t="s">
        <v>74</v>
      </c>
      <c r="BE974" t="s">
        <v>15211</v>
      </c>
      <c r="BF974" t="str">
        <f>HYPERLINK("http://dx.doi.org/10.1086/505560","http://dx.doi.org/10.1086/505560")</f>
        <v>http://dx.doi.org/10.1086/505560</v>
      </c>
      <c r="BG974" t="s">
        <v>74</v>
      </c>
      <c r="BH974" t="s">
        <v>74</v>
      </c>
      <c r="BI974">
        <v>10</v>
      </c>
      <c r="BJ974" t="s">
        <v>801</v>
      </c>
      <c r="BK974" t="s">
        <v>97</v>
      </c>
      <c r="BL974" t="s">
        <v>801</v>
      </c>
      <c r="BM974" t="s">
        <v>15197</v>
      </c>
      <c r="BN974" t="s">
        <v>74</v>
      </c>
      <c r="BO974" t="s">
        <v>15198</v>
      </c>
      <c r="BP974" t="s">
        <v>74</v>
      </c>
      <c r="BQ974" t="s">
        <v>74</v>
      </c>
      <c r="BR974" t="s">
        <v>100</v>
      </c>
      <c r="BS974" t="s">
        <v>15212</v>
      </c>
      <c r="BT974" t="str">
        <f>HYPERLINK("https%3A%2F%2Fwww.webofscience.com%2Fwos%2Fwoscc%2Ffull-record%2FWOS:000239830000008","View Full Record in Web of Science")</f>
        <v>View Full Record in Web of Science</v>
      </c>
    </row>
    <row r="975" spans="1:72" x14ac:dyDescent="0.15">
      <c r="A975" t="s">
        <v>72</v>
      </c>
      <c r="B975" t="s">
        <v>15213</v>
      </c>
      <c r="C975" t="s">
        <v>74</v>
      </c>
      <c r="D975" t="s">
        <v>74</v>
      </c>
      <c r="E975" t="s">
        <v>74</v>
      </c>
      <c r="F975" t="s">
        <v>15214</v>
      </c>
      <c r="G975" t="s">
        <v>74</v>
      </c>
      <c r="H975" t="s">
        <v>74</v>
      </c>
      <c r="I975" t="s">
        <v>15215</v>
      </c>
      <c r="J975" t="s">
        <v>7251</v>
      </c>
      <c r="K975" t="s">
        <v>74</v>
      </c>
      <c r="L975" t="s">
        <v>74</v>
      </c>
      <c r="M975" t="s">
        <v>78</v>
      </c>
      <c r="N975" t="s">
        <v>79</v>
      </c>
      <c r="O975" t="s">
        <v>74</v>
      </c>
      <c r="P975" t="s">
        <v>74</v>
      </c>
      <c r="Q975" t="s">
        <v>74</v>
      </c>
      <c r="R975" t="s">
        <v>74</v>
      </c>
      <c r="S975" t="s">
        <v>74</v>
      </c>
      <c r="T975" t="s">
        <v>74</v>
      </c>
      <c r="U975" t="s">
        <v>15216</v>
      </c>
      <c r="V975" t="s">
        <v>15217</v>
      </c>
      <c r="W975" t="s">
        <v>15218</v>
      </c>
      <c r="X975" t="s">
        <v>15219</v>
      </c>
      <c r="Y975" t="s">
        <v>15220</v>
      </c>
      <c r="Z975" t="s">
        <v>15221</v>
      </c>
      <c r="AA975" t="s">
        <v>15222</v>
      </c>
      <c r="AB975" t="s">
        <v>15223</v>
      </c>
      <c r="AC975" t="s">
        <v>4484</v>
      </c>
      <c r="AD975" t="s">
        <v>1254</v>
      </c>
      <c r="AE975" t="s">
        <v>74</v>
      </c>
      <c r="AF975" t="s">
        <v>74</v>
      </c>
      <c r="AG975">
        <v>20</v>
      </c>
      <c r="AH975">
        <v>260</v>
      </c>
      <c r="AI975">
        <v>286</v>
      </c>
      <c r="AJ975">
        <v>4</v>
      </c>
      <c r="AK975">
        <v>57</v>
      </c>
      <c r="AL975" t="s">
        <v>7239</v>
      </c>
      <c r="AM975" t="s">
        <v>5498</v>
      </c>
      <c r="AN975" t="s">
        <v>7240</v>
      </c>
      <c r="AO975" t="s">
        <v>7257</v>
      </c>
      <c r="AP975" t="s">
        <v>7394</v>
      </c>
      <c r="AQ975" t="s">
        <v>74</v>
      </c>
      <c r="AR975" t="s">
        <v>7258</v>
      </c>
      <c r="AS975" t="s">
        <v>7259</v>
      </c>
      <c r="AT975" t="s">
        <v>15224</v>
      </c>
      <c r="AU975">
        <v>2006</v>
      </c>
      <c r="AV975">
        <v>33</v>
      </c>
      <c r="AW975">
        <v>16</v>
      </c>
      <c r="AX975" t="s">
        <v>74</v>
      </c>
      <c r="AY975" t="s">
        <v>74</v>
      </c>
      <c r="AZ975" t="s">
        <v>74</v>
      </c>
      <c r="BA975" t="s">
        <v>74</v>
      </c>
      <c r="BB975" t="s">
        <v>74</v>
      </c>
      <c r="BC975" t="s">
        <v>74</v>
      </c>
      <c r="BD975" t="s">
        <v>15225</v>
      </c>
      <c r="BE975" t="s">
        <v>15226</v>
      </c>
      <c r="BF975" t="str">
        <f>HYPERLINK("http://dx.doi.org/10.1029/2006GL026499","http://dx.doi.org/10.1029/2006GL026499")</f>
        <v>http://dx.doi.org/10.1029/2006GL026499</v>
      </c>
      <c r="BG975" t="s">
        <v>74</v>
      </c>
      <c r="BH975" t="s">
        <v>74</v>
      </c>
      <c r="BI975">
        <v>4</v>
      </c>
      <c r="BJ975" t="s">
        <v>685</v>
      </c>
      <c r="BK975" t="s">
        <v>97</v>
      </c>
      <c r="BL975" t="s">
        <v>642</v>
      </c>
      <c r="BM975" t="s">
        <v>15227</v>
      </c>
      <c r="BN975" t="s">
        <v>74</v>
      </c>
      <c r="BO975" t="s">
        <v>124</v>
      </c>
      <c r="BP975" t="s">
        <v>74</v>
      </c>
      <c r="BQ975" t="s">
        <v>74</v>
      </c>
      <c r="BR975" t="s">
        <v>100</v>
      </c>
      <c r="BS975" t="s">
        <v>15228</v>
      </c>
      <c r="BT975" t="str">
        <f>HYPERLINK("https%3A%2F%2Fwww.webofscience.com%2Fwos%2Fwoscc%2Ffull-record%2FWOS:000239991800003","View Full Record in Web of Science")</f>
        <v>View Full Record in Web of Science</v>
      </c>
    </row>
    <row r="976" spans="1:72" x14ac:dyDescent="0.15">
      <c r="A976" t="s">
        <v>72</v>
      </c>
      <c r="B976" t="s">
        <v>15229</v>
      </c>
      <c r="C976" t="s">
        <v>74</v>
      </c>
      <c r="D976" t="s">
        <v>74</v>
      </c>
      <c r="E976" t="s">
        <v>74</v>
      </c>
      <c r="F976" t="s">
        <v>15230</v>
      </c>
      <c r="G976" t="s">
        <v>74</v>
      </c>
      <c r="H976" t="s">
        <v>74</v>
      </c>
      <c r="I976" t="s">
        <v>15231</v>
      </c>
      <c r="J976" t="s">
        <v>7439</v>
      </c>
      <c r="K976" t="s">
        <v>74</v>
      </c>
      <c r="L976" t="s">
        <v>74</v>
      </c>
      <c r="M976" t="s">
        <v>78</v>
      </c>
      <c r="N976" t="s">
        <v>79</v>
      </c>
      <c r="O976" t="s">
        <v>74</v>
      </c>
      <c r="P976" t="s">
        <v>74</v>
      </c>
      <c r="Q976" t="s">
        <v>74</v>
      </c>
      <c r="R976" t="s">
        <v>74</v>
      </c>
      <c r="S976" t="s">
        <v>74</v>
      </c>
      <c r="T976" t="s">
        <v>74</v>
      </c>
      <c r="U976" t="s">
        <v>15232</v>
      </c>
      <c r="V976" t="s">
        <v>15233</v>
      </c>
      <c r="W976" t="s">
        <v>15234</v>
      </c>
      <c r="X976" t="s">
        <v>15235</v>
      </c>
      <c r="Y976" t="s">
        <v>15236</v>
      </c>
      <c r="Z976" t="s">
        <v>15237</v>
      </c>
      <c r="AA976" t="s">
        <v>15238</v>
      </c>
      <c r="AB976" t="s">
        <v>15239</v>
      </c>
      <c r="AC976" t="s">
        <v>74</v>
      </c>
      <c r="AD976" t="s">
        <v>74</v>
      </c>
      <c r="AE976" t="s">
        <v>74</v>
      </c>
      <c r="AF976" t="s">
        <v>74</v>
      </c>
      <c r="AG976">
        <v>47</v>
      </c>
      <c r="AH976">
        <v>9</v>
      </c>
      <c r="AI976">
        <v>9</v>
      </c>
      <c r="AJ976">
        <v>1</v>
      </c>
      <c r="AK976">
        <v>15</v>
      </c>
      <c r="AL976" t="s">
        <v>7239</v>
      </c>
      <c r="AM976" t="s">
        <v>5498</v>
      </c>
      <c r="AN976" t="s">
        <v>7240</v>
      </c>
      <c r="AO976" t="s">
        <v>7448</v>
      </c>
      <c r="AP976" t="s">
        <v>7449</v>
      </c>
      <c r="AQ976" t="s">
        <v>74</v>
      </c>
      <c r="AR976" t="s">
        <v>7450</v>
      </c>
      <c r="AS976" t="s">
        <v>7451</v>
      </c>
      <c r="AT976" t="s">
        <v>15224</v>
      </c>
      <c r="AU976">
        <v>2006</v>
      </c>
      <c r="AV976">
        <v>111</v>
      </c>
      <c r="AW976" t="s">
        <v>14988</v>
      </c>
      <c r="AX976" t="s">
        <v>74</v>
      </c>
      <c r="AY976" t="s">
        <v>74</v>
      </c>
      <c r="AZ976" t="s">
        <v>74</v>
      </c>
      <c r="BA976" t="s">
        <v>74</v>
      </c>
      <c r="BB976" t="s">
        <v>74</v>
      </c>
      <c r="BC976" t="s">
        <v>74</v>
      </c>
      <c r="BD976" t="s">
        <v>15240</v>
      </c>
      <c r="BE976" t="s">
        <v>15241</v>
      </c>
      <c r="BF976" t="str">
        <f>HYPERLINK("http://dx.doi.org/10.1029/2005JD006750","http://dx.doi.org/10.1029/2005JD006750")</f>
        <v>http://dx.doi.org/10.1029/2005JD006750</v>
      </c>
      <c r="BG976" t="s">
        <v>74</v>
      </c>
      <c r="BH976" t="s">
        <v>74</v>
      </c>
      <c r="BI976">
        <v>12</v>
      </c>
      <c r="BJ976" t="s">
        <v>3208</v>
      </c>
      <c r="BK976" t="s">
        <v>97</v>
      </c>
      <c r="BL976" t="s">
        <v>3208</v>
      </c>
      <c r="BM976" t="s">
        <v>15242</v>
      </c>
      <c r="BN976" t="s">
        <v>74</v>
      </c>
      <c r="BO976" t="s">
        <v>124</v>
      </c>
      <c r="BP976" t="s">
        <v>74</v>
      </c>
      <c r="BQ976" t="s">
        <v>74</v>
      </c>
      <c r="BR976" t="s">
        <v>100</v>
      </c>
      <c r="BS976" t="s">
        <v>15243</v>
      </c>
      <c r="BT976" t="str">
        <f>HYPERLINK("https%3A%2F%2Fwww.webofscience.com%2Fwos%2Fwoscc%2Ffull-record%2FWOS:000239992600001","View Full Record in Web of Science")</f>
        <v>View Full Record in Web of Science</v>
      </c>
    </row>
    <row r="977" spans="1:72" x14ac:dyDescent="0.15">
      <c r="A977" t="s">
        <v>72</v>
      </c>
      <c r="B977" t="s">
        <v>15244</v>
      </c>
      <c r="C977" t="s">
        <v>74</v>
      </c>
      <c r="D977" t="s">
        <v>74</v>
      </c>
      <c r="E977" t="s">
        <v>74</v>
      </c>
      <c r="F977" t="s">
        <v>15245</v>
      </c>
      <c r="G977" t="s">
        <v>74</v>
      </c>
      <c r="H977" t="s">
        <v>74</v>
      </c>
      <c r="I977" t="s">
        <v>15246</v>
      </c>
      <c r="J977" t="s">
        <v>7439</v>
      </c>
      <c r="K977" t="s">
        <v>74</v>
      </c>
      <c r="L977" t="s">
        <v>74</v>
      </c>
      <c r="M977" t="s">
        <v>78</v>
      </c>
      <c r="N977" t="s">
        <v>79</v>
      </c>
      <c r="O977" t="s">
        <v>74</v>
      </c>
      <c r="P977" t="s">
        <v>74</v>
      </c>
      <c r="Q977" t="s">
        <v>74</v>
      </c>
      <c r="R977" t="s">
        <v>74</v>
      </c>
      <c r="S977" t="s">
        <v>74</v>
      </c>
      <c r="T977" t="s">
        <v>74</v>
      </c>
      <c r="U977" t="s">
        <v>15247</v>
      </c>
      <c r="V977" t="s">
        <v>15248</v>
      </c>
      <c r="W977" t="s">
        <v>15249</v>
      </c>
      <c r="X977" t="s">
        <v>15250</v>
      </c>
      <c r="Y977" t="s">
        <v>15251</v>
      </c>
      <c r="Z977" t="s">
        <v>15252</v>
      </c>
      <c r="AA977" t="s">
        <v>15253</v>
      </c>
      <c r="AB977" t="s">
        <v>15254</v>
      </c>
      <c r="AC977" t="s">
        <v>157</v>
      </c>
      <c r="AD977" t="s">
        <v>158</v>
      </c>
      <c r="AE977" t="s">
        <v>74</v>
      </c>
      <c r="AF977" t="s">
        <v>74</v>
      </c>
      <c r="AG977">
        <v>61</v>
      </c>
      <c r="AH977">
        <v>18</v>
      </c>
      <c r="AI977">
        <v>20</v>
      </c>
      <c r="AJ977">
        <v>2</v>
      </c>
      <c r="AK977">
        <v>15</v>
      </c>
      <c r="AL977" t="s">
        <v>7239</v>
      </c>
      <c r="AM977" t="s">
        <v>5498</v>
      </c>
      <c r="AN977" t="s">
        <v>7240</v>
      </c>
      <c r="AO977" t="s">
        <v>7448</v>
      </c>
      <c r="AP977" t="s">
        <v>7449</v>
      </c>
      <c r="AQ977" t="s">
        <v>74</v>
      </c>
      <c r="AR977" t="s">
        <v>7450</v>
      </c>
      <c r="AS977" t="s">
        <v>7451</v>
      </c>
      <c r="AT977" t="s">
        <v>15255</v>
      </c>
      <c r="AU977">
        <v>2006</v>
      </c>
      <c r="AV977">
        <v>111</v>
      </c>
      <c r="AW977" t="s">
        <v>14988</v>
      </c>
      <c r="AX977" t="s">
        <v>74</v>
      </c>
      <c r="AY977" t="s">
        <v>74</v>
      </c>
      <c r="AZ977" t="s">
        <v>74</v>
      </c>
      <c r="BA977" t="s">
        <v>74</v>
      </c>
      <c r="BB977" t="s">
        <v>74</v>
      </c>
      <c r="BC977" t="s">
        <v>74</v>
      </c>
      <c r="BD977" t="s">
        <v>15256</v>
      </c>
      <c r="BE977" t="s">
        <v>15257</v>
      </c>
      <c r="BF977" t="str">
        <f>HYPERLINK("http://dx.doi.org/10.1029/2005JD006343","http://dx.doi.org/10.1029/2005JD006343")</f>
        <v>http://dx.doi.org/10.1029/2005JD006343</v>
      </c>
      <c r="BG977" t="s">
        <v>74</v>
      </c>
      <c r="BH977" t="s">
        <v>74</v>
      </c>
      <c r="BI977">
        <v>17</v>
      </c>
      <c r="BJ977" t="s">
        <v>3208</v>
      </c>
      <c r="BK977" t="s">
        <v>97</v>
      </c>
      <c r="BL977" t="s">
        <v>3208</v>
      </c>
      <c r="BM977" t="s">
        <v>15258</v>
      </c>
      <c r="BN977" t="s">
        <v>74</v>
      </c>
      <c r="BO977" t="s">
        <v>74</v>
      </c>
      <c r="BP977" t="s">
        <v>74</v>
      </c>
      <c r="BQ977" t="s">
        <v>74</v>
      </c>
      <c r="BR977" t="s">
        <v>100</v>
      </c>
      <c r="BS977" t="s">
        <v>15259</v>
      </c>
      <c r="BT977" t="str">
        <f>HYPERLINK("https%3A%2F%2Fwww.webofscience.com%2Fwos%2Fwoscc%2Ffull-record%2FWOS:000239992400001","View Full Record in Web of Science")</f>
        <v>View Full Record in Web of Science</v>
      </c>
    </row>
    <row r="978" spans="1:72" x14ac:dyDescent="0.15">
      <c r="A978" t="s">
        <v>72</v>
      </c>
      <c r="B978" t="s">
        <v>15260</v>
      </c>
      <c r="C978" t="s">
        <v>74</v>
      </c>
      <c r="D978" t="s">
        <v>74</v>
      </c>
      <c r="E978" t="s">
        <v>74</v>
      </c>
      <c r="F978" t="s">
        <v>15261</v>
      </c>
      <c r="G978" t="s">
        <v>74</v>
      </c>
      <c r="H978" t="s">
        <v>74</v>
      </c>
      <c r="I978" t="s">
        <v>15262</v>
      </c>
      <c r="J978" t="s">
        <v>7493</v>
      </c>
      <c r="K978" t="s">
        <v>74</v>
      </c>
      <c r="L978" t="s">
        <v>74</v>
      </c>
      <c r="M978" t="s">
        <v>78</v>
      </c>
      <c r="N978" t="s">
        <v>79</v>
      </c>
      <c r="O978" t="s">
        <v>74</v>
      </c>
      <c r="P978" t="s">
        <v>74</v>
      </c>
      <c r="Q978" t="s">
        <v>74</v>
      </c>
      <c r="R978" t="s">
        <v>74</v>
      </c>
      <c r="S978" t="s">
        <v>74</v>
      </c>
      <c r="T978" t="s">
        <v>15263</v>
      </c>
      <c r="U978" t="s">
        <v>74</v>
      </c>
      <c r="V978" t="s">
        <v>15264</v>
      </c>
      <c r="W978" t="s">
        <v>15265</v>
      </c>
      <c r="X978" t="s">
        <v>74</v>
      </c>
      <c r="Y978" t="s">
        <v>15266</v>
      </c>
      <c r="Z978" t="s">
        <v>15267</v>
      </c>
      <c r="AA978" t="s">
        <v>74</v>
      </c>
      <c r="AB978" t="s">
        <v>74</v>
      </c>
      <c r="AC978" t="s">
        <v>74</v>
      </c>
      <c r="AD978" t="s">
        <v>74</v>
      </c>
      <c r="AE978" t="s">
        <v>74</v>
      </c>
      <c r="AF978" t="s">
        <v>74</v>
      </c>
      <c r="AG978">
        <v>12</v>
      </c>
      <c r="AH978">
        <v>5</v>
      </c>
      <c r="AI978">
        <v>8</v>
      </c>
      <c r="AJ978">
        <v>0</v>
      </c>
      <c r="AK978">
        <v>2</v>
      </c>
      <c r="AL978" t="s">
        <v>7503</v>
      </c>
      <c r="AM978" t="s">
        <v>7504</v>
      </c>
      <c r="AN978" t="s">
        <v>7505</v>
      </c>
      <c r="AO978" t="s">
        <v>7506</v>
      </c>
      <c r="AP978" t="s">
        <v>7507</v>
      </c>
      <c r="AQ978" t="s">
        <v>74</v>
      </c>
      <c r="AR978" t="s">
        <v>7493</v>
      </c>
      <c r="AS978" t="s">
        <v>7508</v>
      </c>
      <c r="AT978" t="s">
        <v>15268</v>
      </c>
      <c r="AU978">
        <v>2006</v>
      </c>
      <c r="AV978" t="s">
        <v>74</v>
      </c>
      <c r="AW978">
        <v>1297</v>
      </c>
      <c r="AX978" t="s">
        <v>74</v>
      </c>
      <c r="AY978" t="s">
        <v>74</v>
      </c>
      <c r="AZ978" t="s">
        <v>74</v>
      </c>
      <c r="BA978" t="s">
        <v>74</v>
      </c>
      <c r="BB978">
        <v>37</v>
      </c>
      <c r="BC978">
        <v>45</v>
      </c>
      <c r="BD978" t="s">
        <v>74</v>
      </c>
      <c r="BE978" t="s">
        <v>74</v>
      </c>
      <c r="BF978" t="s">
        <v>74</v>
      </c>
      <c r="BG978" t="s">
        <v>74</v>
      </c>
      <c r="BH978" t="s">
        <v>74</v>
      </c>
      <c r="BI978">
        <v>9</v>
      </c>
      <c r="BJ978" t="s">
        <v>596</v>
      </c>
      <c r="BK978" t="s">
        <v>97</v>
      </c>
      <c r="BL978" t="s">
        <v>596</v>
      </c>
      <c r="BM978" t="s">
        <v>15269</v>
      </c>
      <c r="BN978" t="s">
        <v>74</v>
      </c>
      <c r="BO978" t="s">
        <v>74</v>
      </c>
      <c r="BP978" t="s">
        <v>74</v>
      </c>
      <c r="BQ978" t="s">
        <v>74</v>
      </c>
      <c r="BR978" t="s">
        <v>100</v>
      </c>
      <c r="BS978" t="s">
        <v>15270</v>
      </c>
      <c r="BT978" t="str">
        <f>HYPERLINK("https%3A%2F%2Fwww.webofscience.com%2Fwos%2Fwoscc%2Ffull-record%2FWOS:000239828600004","View Full Record in Web of Science")</f>
        <v>View Full Record in Web of Science</v>
      </c>
    </row>
    <row r="979" spans="1:72" x14ac:dyDescent="0.15">
      <c r="A979" t="s">
        <v>72</v>
      </c>
      <c r="B979" t="s">
        <v>15271</v>
      </c>
      <c r="C979" t="s">
        <v>74</v>
      </c>
      <c r="D979" t="s">
        <v>74</v>
      </c>
      <c r="E979" t="s">
        <v>74</v>
      </c>
      <c r="F979" t="s">
        <v>15272</v>
      </c>
      <c r="G979" t="s">
        <v>74</v>
      </c>
      <c r="H979" t="s">
        <v>74</v>
      </c>
      <c r="I979" t="s">
        <v>15273</v>
      </c>
      <c r="J979" t="s">
        <v>7367</v>
      </c>
      <c r="K979" t="s">
        <v>74</v>
      </c>
      <c r="L979" t="s">
        <v>74</v>
      </c>
      <c r="M979" t="s">
        <v>78</v>
      </c>
      <c r="N979" t="s">
        <v>79</v>
      </c>
      <c r="O979" t="s">
        <v>74</v>
      </c>
      <c r="P979" t="s">
        <v>74</v>
      </c>
      <c r="Q979" t="s">
        <v>74</v>
      </c>
      <c r="R979" t="s">
        <v>74</v>
      </c>
      <c r="S979" t="s">
        <v>74</v>
      </c>
      <c r="T979" t="s">
        <v>15274</v>
      </c>
      <c r="U979" t="s">
        <v>15275</v>
      </c>
      <c r="V979" t="s">
        <v>15276</v>
      </c>
      <c r="W979" t="s">
        <v>15277</v>
      </c>
      <c r="X979" t="s">
        <v>15278</v>
      </c>
      <c r="Y979" t="s">
        <v>15279</v>
      </c>
      <c r="Z979" t="s">
        <v>15280</v>
      </c>
      <c r="AA979" t="s">
        <v>15281</v>
      </c>
      <c r="AB979" t="s">
        <v>15282</v>
      </c>
      <c r="AC979" t="s">
        <v>74</v>
      </c>
      <c r="AD979" t="s">
        <v>74</v>
      </c>
      <c r="AE979" t="s">
        <v>74</v>
      </c>
      <c r="AF979" t="s">
        <v>74</v>
      </c>
      <c r="AG979">
        <v>43</v>
      </c>
      <c r="AH979">
        <v>29</v>
      </c>
      <c r="AI979">
        <v>36</v>
      </c>
      <c r="AJ979">
        <v>5</v>
      </c>
      <c r="AK979">
        <v>46</v>
      </c>
      <c r="AL979" t="s">
        <v>115</v>
      </c>
      <c r="AM979" t="s">
        <v>116</v>
      </c>
      <c r="AN979" t="s">
        <v>117</v>
      </c>
      <c r="AO979" t="s">
        <v>7377</v>
      </c>
      <c r="AP979" t="s">
        <v>7378</v>
      </c>
      <c r="AQ979" t="s">
        <v>74</v>
      </c>
      <c r="AR979" t="s">
        <v>7379</v>
      </c>
      <c r="AS979" t="s">
        <v>7380</v>
      </c>
      <c r="AT979" t="s">
        <v>15283</v>
      </c>
      <c r="AU979">
        <v>2006</v>
      </c>
      <c r="AV979">
        <v>44</v>
      </c>
      <c r="AW979">
        <v>1</v>
      </c>
      <c r="AX979" t="s">
        <v>74</v>
      </c>
      <c r="AY979" t="s">
        <v>74</v>
      </c>
      <c r="AZ979" t="s">
        <v>74</v>
      </c>
      <c r="BA979" t="s">
        <v>74</v>
      </c>
      <c r="BB979">
        <v>97</v>
      </c>
      <c r="BC979">
        <v>103</v>
      </c>
      <c r="BD979" t="s">
        <v>74</v>
      </c>
      <c r="BE979" t="s">
        <v>15284</v>
      </c>
      <c r="BF979" t="str">
        <f>HYPERLINK("http://dx.doi.org/10.3354/ame044097","http://dx.doi.org/10.3354/ame044097")</f>
        <v>http://dx.doi.org/10.3354/ame044097</v>
      </c>
      <c r="BG979" t="s">
        <v>74</v>
      </c>
      <c r="BH979" t="s">
        <v>74</v>
      </c>
      <c r="BI979">
        <v>7</v>
      </c>
      <c r="BJ979" t="s">
        <v>4934</v>
      </c>
      <c r="BK979" t="s">
        <v>97</v>
      </c>
      <c r="BL979" t="s">
        <v>4935</v>
      </c>
      <c r="BM979" t="s">
        <v>15285</v>
      </c>
      <c r="BN979" t="s">
        <v>74</v>
      </c>
      <c r="BO979" t="s">
        <v>124</v>
      </c>
      <c r="BP979" t="s">
        <v>74</v>
      </c>
      <c r="BQ979" t="s">
        <v>74</v>
      </c>
      <c r="BR979" t="s">
        <v>100</v>
      </c>
      <c r="BS979" t="s">
        <v>15286</v>
      </c>
      <c r="BT979" t="str">
        <f>HYPERLINK("https%3A%2F%2Fwww.webofscience.com%2Fwos%2Fwoscc%2Ffull-record%2FWOS:000240386800009","View Full Record in Web of Science")</f>
        <v>View Full Record in Web of Science</v>
      </c>
    </row>
    <row r="980" spans="1:72" x14ac:dyDescent="0.15">
      <c r="A980" t="s">
        <v>72</v>
      </c>
      <c r="B980" t="s">
        <v>15287</v>
      </c>
      <c r="C980" t="s">
        <v>74</v>
      </c>
      <c r="D980" t="s">
        <v>74</v>
      </c>
      <c r="E980" t="s">
        <v>74</v>
      </c>
      <c r="F980" t="s">
        <v>15288</v>
      </c>
      <c r="G980" t="s">
        <v>74</v>
      </c>
      <c r="H980" t="s">
        <v>74</v>
      </c>
      <c r="I980" t="s">
        <v>15289</v>
      </c>
      <c r="J980" t="s">
        <v>7547</v>
      </c>
      <c r="K980" t="s">
        <v>74</v>
      </c>
      <c r="L980" t="s">
        <v>74</v>
      </c>
      <c r="M980" t="s">
        <v>78</v>
      </c>
      <c r="N980" t="s">
        <v>79</v>
      </c>
      <c r="O980" t="s">
        <v>74</v>
      </c>
      <c r="P980" t="s">
        <v>74</v>
      </c>
      <c r="Q980" t="s">
        <v>74</v>
      </c>
      <c r="R980" t="s">
        <v>74</v>
      </c>
      <c r="S980" t="s">
        <v>74</v>
      </c>
      <c r="T980" t="s">
        <v>15290</v>
      </c>
      <c r="U980" t="s">
        <v>15291</v>
      </c>
      <c r="V980" t="s">
        <v>15292</v>
      </c>
      <c r="W980" t="s">
        <v>15293</v>
      </c>
      <c r="X980" t="s">
        <v>15294</v>
      </c>
      <c r="Y980" t="s">
        <v>15295</v>
      </c>
      <c r="Z980" t="s">
        <v>15296</v>
      </c>
      <c r="AA980" t="s">
        <v>15297</v>
      </c>
      <c r="AB980" t="s">
        <v>15298</v>
      </c>
      <c r="AC980" t="s">
        <v>74</v>
      </c>
      <c r="AD980" t="s">
        <v>74</v>
      </c>
      <c r="AE980" t="s">
        <v>74</v>
      </c>
      <c r="AF980" t="s">
        <v>74</v>
      </c>
      <c r="AG980">
        <v>23</v>
      </c>
      <c r="AH980">
        <v>19</v>
      </c>
      <c r="AI980">
        <v>19</v>
      </c>
      <c r="AJ980">
        <v>0</v>
      </c>
      <c r="AK980">
        <v>7</v>
      </c>
      <c r="AL980" t="s">
        <v>2829</v>
      </c>
      <c r="AM980" t="s">
        <v>903</v>
      </c>
      <c r="AN980" t="s">
        <v>2830</v>
      </c>
      <c r="AO980" t="s">
        <v>7557</v>
      </c>
      <c r="AP980" t="s">
        <v>7558</v>
      </c>
      <c r="AQ980" t="s">
        <v>74</v>
      </c>
      <c r="AR980" t="s">
        <v>7559</v>
      </c>
      <c r="AS980" t="s">
        <v>7560</v>
      </c>
      <c r="AT980" t="s">
        <v>15299</v>
      </c>
      <c r="AU980">
        <v>2006</v>
      </c>
      <c r="AV980">
        <v>248</v>
      </c>
      <c r="AW980" t="s">
        <v>94</v>
      </c>
      <c r="AX980" t="s">
        <v>74</v>
      </c>
      <c r="AY980" t="s">
        <v>74</v>
      </c>
      <c r="AZ980" t="s">
        <v>74</v>
      </c>
      <c r="BA980" t="s">
        <v>74</v>
      </c>
      <c r="BB980">
        <v>209</v>
      </c>
      <c r="BC980">
        <v>216</v>
      </c>
      <c r="BD980" t="s">
        <v>74</v>
      </c>
      <c r="BE980" t="s">
        <v>15300</v>
      </c>
      <c r="BF980" t="str">
        <f>HYPERLINK("http://dx.doi.org/10.1016/j.epsl.2006.05.022","http://dx.doi.org/10.1016/j.epsl.2006.05.022")</f>
        <v>http://dx.doi.org/10.1016/j.epsl.2006.05.022</v>
      </c>
      <c r="BG980" t="s">
        <v>74</v>
      </c>
      <c r="BH980" t="s">
        <v>74</v>
      </c>
      <c r="BI980">
        <v>8</v>
      </c>
      <c r="BJ980" t="s">
        <v>865</v>
      </c>
      <c r="BK980" t="s">
        <v>97</v>
      </c>
      <c r="BL980" t="s">
        <v>865</v>
      </c>
      <c r="BM980" t="s">
        <v>15301</v>
      </c>
      <c r="BN980" t="s">
        <v>74</v>
      </c>
      <c r="BO980" t="s">
        <v>74</v>
      </c>
      <c r="BP980" t="s">
        <v>74</v>
      </c>
      <c r="BQ980" t="s">
        <v>74</v>
      </c>
      <c r="BR980" t="s">
        <v>100</v>
      </c>
      <c r="BS980" t="s">
        <v>15302</v>
      </c>
      <c r="BT980" t="str">
        <f>HYPERLINK("https%3A%2F%2Fwww.webofscience.com%2Fwos%2Fwoscc%2Ffull-record%2FWOS:000240851400017","View Full Record in Web of Science")</f>
        <v>View Full Record in Web of Science</v>
      </c>
    </row>
    <row r="981" spans="1:72" x14ac:dyDescent="0.15">
      <c r="A981" t="s">
        <v>72</v>
      </c>
      <c r="B981" t="s">
        <v>15303</v>
      </c>
      <c r="C981" t="s">
        <v>74</v>
      </c>
      <c r="D981" t="s">
        <v>74</v>
      </c>
      <c r="E981" t="s">
        <v>74</v>
      </c>
      <c r="F981" t="s">
        <v>15304</v>
      </c>
      <c r="G981" t="s">
        <v>74</v>
      </c>
      <c r="H981" t="s">
        <v>74</v>
      </c>
      <c r="I981" t="s">
        <v>15305</v>
      </c>
      <c r="J981" t="s">
        <v>7231</v>
      </c>
      <c r="K981" t="s">
        <v>74</v>
      </c>
      <c r="L981" t="s">
        <v>74</v>
      </c>
      <c r="M981" t="s">
        <v>78</v>
      </c>
      <c r="N981" t="s">
        <v>79</v>
      </c>
      <c r="O981" t="s">
        <v>74</v>
      </c>
      <c r="P981" t="s">
        <v>74</v>
      </c>
      <c r="Q981" t="s">
        <v>74</v>
      </c>
      <c r="R981" t="s">
        <v>74</v>
      </c>
      <c r="S981" t="s">
        <v>74</v>
      </c>
      <c r="T981" t="s">
        <v>15306</v>
      </c>
      <c r="U981" t="s">
        <v>15307</v>
      </c>
      <c r="V981" t="s">
        <v>15308</v>
      </c>
      <c r="W981" t="s">
        <v>15309</v>
      </c>
      <c r="X981" t="s">
        <v>15310</v>
      </c>
      <c r="Y981" t="s">
        <v>15311</v>
      </c>
      <c r="Z981" t="s">
        <v>15312</v>
      </c>
      <c r="AA981" t="s">
        <v>74</v>
      </c>
      <c r="AB981" t="s">
        <v>15313</v>
      </c>
      <c r="AC981" t="s">
        <v>74</v>
      </c>
      <c r="AD981" t="s">
        <v>74</v>
      </c>
      <c r="AE981" t="s">
        <v>74</v>
      </c>
      <c r="AF981" t="s">
        <v>74</v>
      </c>
      <c r="AG981">
        <v>36</v>
      </c>
      <c r="AH981">
        <v>21</v>
      </c>
      <c r="AI981">
        <v>23</v>
      </c>
      <c r="AJ981">
        <v>3</v>
      </c>
      <c r="AK981">
        <v>20</v>
      </c>
      <c r="AL981" t="s">
        <v>7239</v>
      </c>
      <c r="AM981" t="s">
        <v>5498</v>
      </c>
      <c r="AN981" t="s">
        <v>7240</v>
      </c>
      <c r="AO981" t="s">
        <v>7241</v>
      </c>
      <c r="AP981" t="s">
        <v>74</v>
      </c>
      <c r="AQ981" t="s">
        <v>74</v>
      </c>
      <c r="AR981" t="s">
        <v>7242</v>
      </c>
      <c r="AS981" t="s">
        <v>7243</v>
      </c>
      <c r="AT981" t="s">
        <v>15299</v>
      </c>
      <c r="AU981">
        <v>2006</v>
      </c>
      <c r="AV981">
        <v>7</v>
      </c>
      <c r="AW981" t="s">
        <v>74</v>
      </c>
      <c r="AX981" t="s">
        <v>74</v>
      </c>
      <c r="AY981" t="s">
        <v>74</v>
      </c>
      <c r="AZ981" t="s">
        <v>74</v>
      </c>
      <c r="BA981" t="s">
        <v>74</v>
      </c>
      <c r="BB981" t="s">
        <v>74</v>
      </c>
      <c r="BC981" t="s">
        <v>74</v>
      </c>
      <c r="BD981" t="s">
        <v>15314</v>
      </c>
      <c r="BE981" t="s">
        <v>15315</v>
      </c>
      <c r="BF981" t="str">
        <f>HYPERLINK("http://dx.doi.org/10.1029/2005GC001118","http://dx.doi.org/10.1029/2005GC001118")</f>
        <v>http://dx.doi.org/10.1029/2005GC001118</v>
      </c>
      <c r="BG981" t="s">
        <v>74</v>
      </c>
      <c r="BH981" t="s">
        <v>74</v>
      </c>
      <c r="BI981">
        <v>14</v>
      </c>
      <c r="BJ981" t="s">
        <v>865</v>
      </c>
      <c r="BK981" t="s">
        <v>97</v>
      </c>
      <c r="BL981" t="s">
        <v>865</v>
      </c>
      <c r="BM981" t="s">
        <v>15316</v>
      </c>
      <c r="BN981" t="s">
        <v>74</v>
      </c>
      <c r="BO981" t="s">
        <v>124</v>
      </c>
      <c r="BP981" t="s">
        <v>74</v>
      </c>
      <c r="BQ981" t="s">
        <v>74</v>
      </c>
      <c r="BR981" t="s">
        <v>100</v>
      </c>
      <c r="BS981" t="s">
        <v>15317</v>
      </c>
      <c r="BT981" t="str">
        <f>HYPERLINK("https%3A%2F%2Fwww.webofscience.com%2Fwos%2Fwoscc%2Ffull-record%2FWOS:000239991100001","View Full Record in Web of Science")</f>
        <v>View Full Record in Web of Science</v>
      </c>
    </row>
    <row r="982" spans="1:72" x14ac:dyDescent="0.15">
      <c r="A982" t="s">
        <v>72</v>
      </c>
      <c r="B982" t="s">
        <v>15318</v>
      </c>
      <c r="C982" t="s">
        <v>74</v>
      </c>
      <c r="D982" t="s">
        <v>74</v>
      </c>
      <c r="E982" t="s">
        <v>74</v>
      </c>
      <c r="F982" t="s">
        <v>15319</v>
      </c>
      <c r="G982" t="s">
        <v>74</v>
      </c>
      <c r="H982" t="s">
        <v>74</v>
      </c>
      <c r="I982" t="s">
        <v>15320</v>
      </c>
      <c r="J982" t="s">
        <v>13354</v>
      </c>
      <c r="K982" t="s">
        <v>74</v>
      </c>
      <c r="L982" t="s">
        <v>74</v>
      </c>
      <c r="M982" t="s">
        <v>78</v>
      </c>
      <c r="N982" t="s">
        <v>79</v>
      </c>
      <c r="O982" t="s">
        <v>74</v>
      </c>
      <c r="P982" t="s">
        <v>74</v>
      </c>
      <c r="Q982" t="s">
        <v>74</v>
      </c>
      <c r="R982" t="s">
        <v>74</v>
      </c>
      <c r="S982" t="s">
        <v>74</v>
      </c>
      <c r="T982" t="s">
        <v>74</v>
      </c>
      <c r="U982" t="s">
        <v>15321</v>
      </c>
      <c r="V982" t="s">
        <v>15322</v>
      </c>
      <c r="W982" t="s">
        <v>15323</v>
      </c>
      <c r="X982" t="s">
        <v>15324</v>
      </c>
      <c r="Y982" t="s">
        <v>15325</v>
      </c>
      <c r="Z982" t="s">
        <v>15326</v>
      </c>
      <c r="AA982" t="s">
        <v>15327</v>
      </c>
      <c r="AB982" t="s">
        <v>15328</v>
      </c>
      <c r="AC982" t="s">
        <v>74</v>
      </c>
      <c r="AD982" t="s">
        <v>74</v>
      </c>
      <c r="AE982" t="s">
        <v>74</v>
      </c>
      <c r="AF982" t="s">
        <v>74</v>
      </c>
      <c r="AG982">
        <v>24</v>
      </c>
      <c r="AH982">
        <v>37</v>
      </c>
      <c r="AI982">
        <v>39</v>
      </c>
      <c r="AJ982">
        <v>1</v>
      </c>
      <c r="AK982">
        <v>6</v>
      </c>
      <c r="AL982" t="s">
        <v>7239</v>
      </c>
      <c r="AM982" t="s">
        <v>5498</v>
      </c>
      <c r="AN982" t="s">
        <v>7240</v>
      </c>
      <c r="AO982" t="s">
        <v>13362</v>
      </c>
      <c r="AP982" t="s">
        <v>74</v>
      </c>
      <c r="AQ982" t="s">
        <v>74</v>
      </c>
      <c r="AR982" t="s">
        <v>13363</v>
      </c>
      <c r="AS982" t="s">
        <v>13364</v>
      </c>
      <c r="AT982" t="s">
        <v>15299</v>
      </c>
      <c r="AU982">
        <v>2006</v>
      </c>
      <c r="AV982">
        <v>4</v>
      </c>
      <c r="AW982">
        <v>8</v>
      </c>
      <c r="AX982" t="s">
        <v>74</v>
      </c>
      <c r="AY982" t="s">
        <v>74</v>
      </c>
      <c r="AZ982" t="s">
        <v>74</v>
      </c>
      <c r="BA982" t="s">
        <v>74</v>
      </c>
      <c r="BB982" t="s">
        <v>74</v>
      </c>
      <c r="BC982" t="s">
        <v>74</v>
      </c>
      <c r="BD982" t="s">
        <v>15329</v>
      </c>
      <c r="BE982" t="s">
        <v>15330</v>
      </c>
      <c r="BF982" t="str">
        <f>HYPERLINK("http://dx.doi.org/10.1029/2005SW000204","http://dx.doi.org/10.1029/2005SW000204")</f>
        <v>http://dx.doi.org/10.1029/2005SW000204</v>
      </c>
      <c r="BG982" t="s">
        <v>74</v>
      </c>
      <c r="BH982" t="s">
        <v>74</v>
      </c>
      <c r="BI982">
        <v>10</v>
      </c>
      <c r="BJ982" t="s">
        <v>13367</v>
      </c>
      <c r="BK982" t="s">
        <v>97</v>
      </c>
      <c r="BL982" t="s">
        <v>13367</v>
      </c>
      <c r="BM982" t="s">
        <v>15331</v>
      </c>
      <c r="BN982" t="s">
        <v>74</v>
      </c>
      <c r="BO982" t="s">
        <v>124</v>
      </c>
      <c r="BP982" t="s">
        <v>74</v>
      </c>
      <c r="BQ982" t="s">
        <v>74</v>
      </c>
      <c r="BR982" t="s">
        <v>100</v>
      </c>
      <c r="BS982" t="s">
        <v>15332</v>
      </c>
      <c r="BT982" t="str">
        <f>HYPERLINK("https%3A%2F%2Fwww.webofscience.com%2Fwos%2Fwoscc%2Ffull-record%2FWOS:000240023700001","View Full Record in Web of Science")</f>
        <v>View Full Record in Web of Science</v>
      </c>
    </row>
    <row r="983" spans="1:72" x14ac:dyDescent="0.15">
      <c r="A983" t="s">
        <v>72</v>
      </c>
      <c r="B983" t="s">
        <v>15333</v>
      </c>
      <c r="C983" t="s">
        <v>74</v>
      </c>
      <c r="D983" t="s">
        <v>74</v>
      </c>
      <c r="E983" t="s">
        <v>74</v>
      </c>
      <c r="F983" t="s">
        <v>15334</v>
      </c>
      <c r="G983" t="s">
        <v>74</v>
      </c>
      <c r="H983" t="s">
        <v>74</v>
      </c>
      <c r="I983" t="s">
        <v>15335</v>
      </c>
      <c r="J983" t="s">
        <v>7251</v>
      </c>
      <c r="K983" t="s">
        <v>74</v>
      </c>
      <c r="L983" t="s">
        <v>74</v>
      </c>
      <c r="M983" t="s">
        <v>78</v>
      </c>
      <c r="N983" t="s">
        <v>79</v>
      </c>
      <c r="O983" t="s">
        <v>74</v>
      </c>
      <c r="P983" t="s">
        <v>74</v>
      </c>
      <c r="Q983" t="s">
        <v>74</v>
      </c>
      <c r="R983" t="s">
        <v>74</v>
      </c>
      <c r="S983" t="s">
        <v>74</v>
      </c>
      <c r="T983" t="s">
        <v>74</v>
      </c>
      <c r="U983" t="s">
        <v>15336</v>
      </c>
      <c r="V983" t="s">
        <v>15337</v>
      </c>
      <c r="W983" t="s">
        <v>15338</v>
      </c>
      <c r="X983" t="s">
        <v>15339</v>
      </c>
      <c r="Y983" t="s">
        <v>15340</v>
      </c>
      <c r="Z983" t="s">
        <v>15341</v>
      </c>
      <c r="AA983" t="s">
        <v>15342</v>
      </c>
      <c r="AB983" t="s">
        <v>15343</v>
      </c>
      <c r="AC983" t="s">
        <v>74</v>
      </c>
      <c r="AD983" t="s">
        <v>74</v>
      </c>
      <c r="AE983" t="s">
        <v>74</v>
      </c>
      <c r="AF983" t="s">
        <v>74</v>
      </c>
      <c r="AG983">
        <v>37</v>
      </c>
      <c r="AH983">
        <v>13</v>
      </c>
      <c r="AI983">
        <v>13</v>
      </c>
      <c r="AJ983">
        <v>0</v>
      </c>
      <c r="AK983">
        <v>4</v>
      </c>
      <c r="AL983" t="s">
        <v>7239</v>
      </c>
      <c r="AM983" t="s">
        <v>5498</v>
      </c>
      <c r="AN983" t="s">
        <v>7240</v>
      </c>
      <c r="AO983" t="s">
        <v>7257</v>
      </c>
      <c r="AP983" t="s">
        <v>74</v>
      </c>
      <c r="AQ983" t="s">
        <v>74</v>
      </c>
      <c r="AR983" t="s">
        <v>7258</v>
      </c>
      <c r="AS983" t="s">
        <v>7259</v>
      </c>
      <c r="AT983" t="s">
        <v>15344</v>
      </c>
      <c r="AU983">
        <v>2006</v>
      </c>
      <c r="AV983">
        <v>33</v>
      </c>
      <c r="AW983">
        <v>15</v>
      </c>
      <c r="AX983" t="s">
        <v>74</v>
      </c>
      <c r="AY983" t="s">
        <v>74</v>
      </c>
      <c r="AZ983" t="s">
        <v>74</v>
      </c>
      <c r="BA983" t="s">
        <v>74</v>
      </c>
      <c r="BB983" t="s">
        <v>74</v>
      </c>
      <c r="BC983" t="s">
        <v>74</v>
      </c>
      <c r="BD983" t="s">
        <v>15345</v>
      </c>
      <c r="BE983" t="s">
        <v>15346</v>
      </c>
      <c r="BF983" t="str">
        <f>HYPERLINK("http://dx.doi.org/10.1029/2006GL026939","http://dx.doi.org/10.1029/2006GL026939")</f>
        <v>http://dx.doi.org/10.1029/2006GL026939</v>
      </c>
      <c r="BG983" t="s">
        <v>74</v>
      </c>
      <c r="BH983" t="s">
        <v>74</v>
      </c>
      <c r="BI983">
        <v>5</v>
      </c>
      <c r="BJ983" t="s">
        <v>685</v>
      </c>
      <c r="BK983" t="s">
        <v>97</v>
      </c>
      <c r="BL983" t="s">
        <v>642</v>
      </c>
      <c r="BM983" t="s">
        <v>15347</v>
      </c>
      <c r="BN983" t="s">
        <v>74</v>
      </c>
      <c r="BO983" t="s">
        <v>1314</v>
      </c>
      <c r="BP983" t="s">
        <v>74</v>
      </c>
      <c r="BQ983" t="s">
        <v>74</v>
      </c>
      <c r="BR983" t="s">
        <v>100</v>
      </c>
      <c r="BS983" t="s">
        <v>15348</v>
      </c>
      <c r="BT983" t="str">
        <f>HYPERLINK("https%3A%2F%2Fwww.webofscience.com%2Fwos%2Fwoscc%2Ffull-record%2FWOS:000239786500007","View Full Record in Web of Science")</f>
        <v>View Full Record in Web of Science</v>
      </c>
    </row>
    <row r="984" spans="1:72" x14ac:dyDescent="0.15">
      <c r="A984" t="s">
        <v>72</v>
      </c>
      <c r="B984" t="s">
        <v>15349</v>
      </c>
      <c r="C984" t="s">
        <v>74</v>
      </c>
      <c r="D984" t="s">
        <v>74</v>
      </c>
      <c r="E984" t="s">
        <v>74</v>
      </c>
      <c r="F984" t="s">
        <v>15350</v>
      </c>
      <c r="G984" t="s">
        <v>74</v>
      </c>
      <c r="H984" t="s">
        <v>74</v>
      </c>
      <c r="I984" t="s">
        <v>15351</v>
      </c>
      <c r="J984" t="s">
        <v>7439</v>
      </c>
      <c r="K984" t="s">
        <v>74</v>
      </c>
      <c r="L984" t="s">
        <v>74</v>
      </c>
      <c r="M984" t="s">
        <v>78</v>
      </c>
      <c r="N984" t="s">
        <v>79</v>
      </c>
      <c r="O984" t="s">
        <v>74</v>
      </c>
      <c r="P984" t="s">
        <v>74</v>
      </c>
      <c r="Q984" t="s">
        <v>74</v>
      </c>
      <c r="R984" t="s">
        <v>74</v>
      </c>
      <c r="S984" t="s">
        <v>74</v>
      </c>
      <c r="T984" t="s">
        <v>74</v>
      </c>
      <c r="U984" t="s">
        <v>15352</v>
      </c>
      <c r="V984" t="s">
        <v>15353</v>
      </c>
      <c r="W984" t="s">
        <v>15354</v>
      </c>
      <c r="X984" t="s">
        <v>15355</v>
      </c>
      <c r="Y984" t="s">
        <v>15356</v>
      </c>
      <c r="Z984" t="s">
        <v>15357</v>
      </c>
      <c r="AA984" t="s">
        <v>15358</v>
      </c>
      <c r="AB984" t="s">
        <v>15359</v>
      </c>
      <c r="AC984" t="s">
        <v>74</v>
      </c>
      <c r="AD984" t="s">
        <v>74</v>
      </c>
      <c r="AE984" t="s">
        <v>74</v>
      </c>
      <c r="AF984" t="s">
        <v>74</v>
      </c>
      <c r="AG984">
        <v>55</v>
      </c>
      <c r="AH984">
        <v>12</v>
      </c>
      <c r="AI984">
        <v>18</v>
      </c>
      <c r="AJ984">
        <v>0</v>
      </c>
      <c r="AK984">
        <v>21</v>
      </c>
      <c r="AL984" t="s">
        <v>7239</v>
      </c>
      <c r="AM984" t="s">
        <v>5498</v>
      </c>
      <c r="AN984" t="s">
        <v>7240</v>
      </c>
      <c r="AO984" t="s">
        <v>7448</v>
      </c>
      <c r="AP984" t="s">
        <v>7449</v>
      </c>
      <c r="AQ984" t="s">
        <v>74</v>
      </c>
      <c r="AR984" t="s">
        <v>7450</v>
      </c>
      <c r="AS984" t="s">
        <v>7451</v>
      </c>
      <c r="AT984" t="s">
        <v>15344</v>
      </c>
      <c r="AU984">
        <v>2006</v>
      </c>
      <c r="AV984">
        <v>111</v>
      </c>
      <c r="AW984" t="s">
        <v>15360</v>
      </c>
      <c r="AX984" t="s">
        <v>74</v>
      </c>
      <c r="AY984" t="s">
        <v>74</v>
      </c>
      <c r="AZ984" t="s">
        <v>74</v>
      </c>
      <c r="BA984" t="s">
        <v>74</v>
      </c>
      <c r="BB984" t="s">
        <v>74</v>
      </c>
      <c r="BC984" t="s">
        <v>74</v>
      </c>
      <c r="BD984" t="s">
        <v>15361</v>
      </c>
      <c r="BE984" t="s">
        <v>15362</v>
      </c>
      <c r="BF984" t="str">
        <f>HYPERLINK("http://dx.doi.org/10.1029/2005JD006591","http://dx.doi.org/10.1029/2005JD006591")</f>
        <v>http://dx.doi.org/10.1029/2005JD006591</v>
      </c>
      <c r="BG984" t="s">
        <v>74</v>
      </c>
      <c r="BH984" t="s">
        <v>74</v>
      </c>
      <c r="BI984">
        <v>11</v>
      </c>
      <c r="BJ984" t="s">
        <v>3208</v>
      </c>
      <c r="BK984" t="s">
        <v>97</v>
      </c>
      <c r="BL984" t="s">
        <v>3208</v>
      </c>
      <c r="BM984" t="s">
        <v>15363</v>
      </c>
      <c r="BN984" t="s">
        <v>74</v>
      </c>
      <c r="BO984" t="s">
        <v>74</v>
      </c>
      <c r="BP984" t="s">
        <v>74</v>
      </c>
      <c r="BQ984" t="s">
        <v>74</v>
      </c>
      <c r="BR984" t="s">
        <v>100</v>
      </c>
      <c r="BS984" t="s">
        <v>15364</v>
      </c>
      <c r="BT984" t="str">
        <f>HYPERLINK("https%3A%2F%2Fwww.webofscience.com%2Fwos%2Fwoscc%2Ffull-record%2FWOS:000239787100002","View Full Record in Web of Science")</f>
        <v>View Full Record in Web of Science</v>
      </c>
    </row>
    <row r="985" spans="1:72" x14ac:dyDescent="0.15">
      <c r="A985" t="s">
        <v>72</v>
      </c>
      <c r="B985" t="s">
        <v>15365</v>
      </c>
      <c r="C985" t="s">
        <v>74</v>
      </c>
      <c r="D985" t="s">
        <v>74</v>
      </c>
      <c r="E985" t="s">
        <v>74</v>
      </c>
      <c r="F985" t="s">
        <v>15366</v>
      </c>
      <c r="G985" t="s">
        <v>74</v>
      </c>
      <c r="H985" t="s">
        <v>74</v>
      </c>
      <c r="I985" t="s">
        <v>15367</v>
      </c>
      <c r="J985" t="s">
        <v>7251</v>
      </c>
      <c r="K985" t="s">
        <v>74</v>
      </c>
      <c r="L985" t="s">
        <v>74</v>
      </c>
      <c r="M985" t="s">
        <v>78</v>
      </c>
      <c r="N985" t="s">
        <v>79</v>
      </c>
      <c r="O985" t="s">
        <v>74</v>
      </c>
      <c r="P985" t="s">
        <v>74</v>
      </c>
      <c r="Q985" t="s">
        <v>74</v>
      </c>
      <c r="R985" t="s">
        <v>74</v>
      </c>
      <c r="S985" t="s">
        <v>74</v>
      </c>
      <c r="T985" t="s">
        <v>74</v>
      </c>
      <c r="U985" t="s">
        <v>15368</v>
      </c>
      <c r="V985" t="s">
        <v>15369</v>
      </c>
      <c r="W985" t="s">
        <v>15370</v>
      </c>
      <c r="X985" t="s">
        <v>1868</v>
      </c>
      <c r="Y985" t="s">
        <v>15371</v>
      </c>
      <c r="Z985" t="s">
        <v>15372</v>
      </c>
      <c r="AA985" t="s">
        <v>15373</v>
      </c>
      <c r="AB985" t="s">
        <v>15374</v>
      </c>
      <c r="AC985" t="s">
        <v>74</v>
      </c>
      <c r="AD985" t="s">
        <v>74</v>
      </c>
      <c r="AE985" t="s">
        <v>74</v>
      </c>
      <c r="AF985" t="s">
        <v>74</v>
      </c>
      <c r="AG985">
        <v>22</v>
      </c>
      <c r="AH985">
        <v>108</v>
      </c>
      <c r="AI985">
        <v>127</v>
      </c>
      <c r="AJ985">
        <v>3</v>
      </c>
      <c r="AK985">
        <v>36</v>
      </c>
      <c r="AL985" t="s">
        <v>7239</v>
      </c>
      <c r="AM985" t="s">
        <v>5498</v>
      </c>
      <c r="AN985" t="s">
        <v>7240</v>
      </c>
      <c r="AO985" t="s">
        <v>7257</v>
      </c>
      <c r="AP985" t="s">
        <v>7394</v>
      </c>
      <c r="AQ985" t="s">
        <v>74</v>
      </c>
      <c r="AR985" t="s">
        <v>7258</v>
      </c>
      <c r="AS985" t="s">
        <v>7259</v>
      </c>
      <c r="AT985" t="s">
        <v>15375</v>
      </c>
      <c r="AU985">
        <v>2006</v>
      </c>
      <c r="AV985">
        <v>33</v>
      </c>
      <c r="AW985">
        <v>15</v>
      </c>
      <c r="AX985" t="s">
        <v>74</v>
      </c>
      <c r="AY985" t="s">
        <v>74</v>
      </c>
      <c r="AZ985" t="s">
        <v>74</v>
      </c>
      <c r="BA985" t="s">
        <v>74</v>
      </c>
      <c r="BB985" t="s">
        <v>74</v>
      </c>
      <c r="BC985" t="s">
        <v>74</v>
      </c>
      <c r="BD985" t="s">
        <v>15376</v>
      </c>
      <c r="BE985" t="s">
        <v>15377</v>
      </c>
      <c r="BF985" t="str">
        <f>HYPERLINK("http://dx.doi.org/10.1029/2006GL026907","http://dx.doi.org/10.1029/2006GL026907")</f>
        <v>http://dx.doi.org/10.1029/2006GL026907</v>
      </c>
      <c r="BG985" t="s">
        <v>74</v>
      </c>
      <c r="BH985" t="s">
        <v>74</v>
      </c>
      <c r="BI985">
        <v>5</v>
      </c>
      <c r="BJ985" t="s">
        <v>685</v>
      </c>
      <c r="BK985" t="s">
        <v>97</v>
      </c>
      <c r="BL985" t="s">
        <v>642</v>
      </c>
      <c r="BM985" t="s">
        <v>15378</v>
      </c>
      <c r="BN985" t="s">
        <v>74</v>
      </c>
      <c r="BO985" t="s">
        <v>124</v>
      </c>
      <c r="BP985" t="s">
        <v>74</v>
      </c>
      <c r="BQ985" t="s">
        <v>74</v>
      </c>
      <c r="BR985" t="s">
        <v>100</v>
      </c>
      <c r="BS985" t="s">
        <v>15379</v>
      </c>
      <c r="BT985" t="str">
        <f>HYPERLINK("https%3A%2F%2Fwww.webofscience.com%2Fwos%2Fwoscc%2Ffull-record%2FWOS:000239786300008","View Full Record in Web of Science")</f>
        <v>View Full Record in Web of Science</v>
      </c>
    </row>
    <row r="986" spans="1:72" x14ac:dyDescent="0.15">
      <c r="A986" t="s">
        <v>72</v>
      </c>
      <c r="B986" t="s">
        <v>15380</v>
      </c>
      <c r="C986" t="s">
        <v>74</v>
      </c>
      <c r="D986" t="s">
        <v>74</v>
      </c>
      <c r="E986" t="s">
        <v>74</v>
      </c>
      <c r="F986" t="s">
        <v>15381</v>
      </c>
      <c r="G986" t="s">
        <v>74</v>
      </c>
      <c r="H986" t="s">
        <v>74</v>
      </c>
      <c r="I986" t="s">
        <v>15382</v>
      </c>
      <c r="J986" t="s">
        <v>7439</v>
      </c>
      <c r="K986" t="s">
        <v>74</v>
      </c>
      <c r="L986" t="s">
        <v>74</v>
      </c>
      <c r="M986" t="s">
        <v>78</v>
      </c>
      <c r="N986" t="s">
        <v>79</v>
      </c>
      <c r="O986" t="s">
        <v>74</v>
      </c>
      <c r="P986" t="s">
        <v>74</v>
      </c>
      <c r="Q986" t="s">
        <v>74</v>
      </c>
      <c r="R986" t="s">
        <v>74</v>
      </c>
      <c r="S986" t="s">
        <v>74</v>
      </c>
      <c r="T986" t="s">
        <v>74</v>
      </c>
      <c r="U986" t="s">
        <v>15383</v>
      </c>
      <c r="V986" t="s">
        <v>15384</v>
      </c>
      <c r="W986" t="s">
        <v>15385</v>
      </c>
      <c r="X986" t="s">
        <v>15386</v>
      </c>
      <c r="Y986" t="s">
        <v>15387</v>
      </c>
      <c r="Z986" t="s">
        <v>15388</v>
      </c>
      <c r="AA986" t="s">
        <v>15389</v>
      </c>
      <c r="AB986" t="s">
        <v>15390</v>
      </c>
      <c r="AC986" t="s">
        <v>74</v>
      </c>
      <c r="AD986" t="s">
        <v>74</v>
      </c>
      <c r="AE986" t="s">
        <v>74</v>
      </c>
      <c r="AF986" t="s">
        <v>74</v>
      </c>
      <c r="AG986">
        <v>62</v>
      </c>
      <c r="AH986">
        <v>128</v>
      </c>
      <c r="AI986">
        <v>136</v>
      </c>
      <c r="AJ986">
        <v>0</v>
      </c>
      <c r="AK986">
        <v>25</v>
      </c>
      <c r="AL986" t="s">
        <v>7239</v>
      </c>
      <c r="AM986" t="s">
        <v>5498</v>
      </c>
      <c r="AN986" t="s">
        <v>7240</v>
      </c>
      <c r="AO986" t="s">
        <v>7448</v>
      </c>
      <c r="AP986" t="s">
        <v>7449</v>
      </c>
      <c r="AQ986" t="s">
        <v>74</v>
      </c>
      <c r="AR986" t="s">
        <v>7450</v>
      </c>
      <c r="AS986" t="s">
        <v>7451</v>
      </c>
      <c r="AT986" t="s">
        <v>15375</v>
      </c>
      <c r="AU986">
        <v>2006</v>
      </c>
      <c r="AV986">
        <v>111</v>
      </c>
      <c r="AW986" t="s">
        <v>15360</v>
      </c>
      <c r="AX986" t="s">
        <v>74</v>
      </c>
      <c r="AY986" t="s">
        <v>74</v>
      </c>
      <c r="AZ986" t="s">
        <v>74</v>
      </c>
      <c r="BA986" t="s">
        <v>74</v>
      </c>
      <c r="BB986" t="s">
        <v>74</v>
      </c>
      <c r="BC986" t="s">
        <v>74</v>
      </c>
      <c r="BD986" t="s">
        <v>15391</v>
      </c>
      <c r="BE986" t="s">
        <v>15392</v>
      </c>
      <c r="BF986" t="str">
        <f>HYPERLINK("http://dx.doi.org/10.1029/2005JD006410","http://dx.doi.org/10.1029/2005JD006410")</f>
        <v>http://dx.doi.org/10.1029/2005JD006410</v>
      </c>
      <c r="BG986" t="s">
        <v>74</v>
      </c>
      <c r="BH986" t="s">
        <v>74</v>
      </c>
      <c r="BI986">
        <v>13</v>
      </c>
      <c r="BJ986" t="s">
        <v>3208</v>
      </c>
      <c r="BK986" t="s">
        <v>97</v>
      </c>
      <c r="BL986" t="s">
        <v>3208</v>
      </c>
      <c r="BM986" t="s">
        <v>15393</v>
      </c>
      <c r="BN986" t="s">
        <v>74</v>
      </c>
      <c r="BO986" t="s">
        <v>74</v>
      </c>
      <c r="BP986" t="s">
        <v>74</v>
      </c>
      <c r="BQ986" t="s">
        <v>74</v>
      </c>
      <c r="BR986" t="s">
        <v>100</v>
      </c>
      <c r="BS986" t="s">
        <v>15394</v>
      </c>
      <c r="BT986" t="str">
        <f>HYPERLINK("https%3A%2F%2Fwww.webofscience.com%2Fwos%2Fwoscc%2Ffull-record%2FWOS:000239787000001","View Full Record in Web of Science")</f>
        <v>View Full Record in Web of Science</v>
      </c>
    </row>
    <row r="987" spans="1:72" x14ac:dyDescent="0.15">
      <c r="A987" t="s">
        <v>72</v>
      </c>
      <c r="B987" t="s">
        <v>15395</v>
      </c>
      <c r="C987" t="s">
        <v>74</v>
      </c>
      <c r="D987" t="s">
        <v>74</v>
      </c>
      <c r="E987" t="s">
        <v>74</v>
      </c>
      <c r="F987" t="s">
        <v>15396</v>
      </c>
      <c r="G987" t="s">
        <v>74</v>
      </c>
      <c r="H987" t="s">
        <v>74</v>
      </c>
      <c r="I987" t="s">
        <v>15397</v>
      </c>
      <c r="J987" t="s">
        <v>7439</v>
      </c>
      <c r="K987" t="s">
        <v>74</v>
      </c>
      <c r="L987" t="s">
        <v>74</v>
      </c>
      <c r="M987" t="s">
        <v>78</v>
      </c>
      <c r="N987" t="s">
        <v>79</v>
      </c>
      <c r="O987" t="s">
        <v>74</v>
      </c>
      <c r="P987" t="s">
        <v>74</v>
      </c>
      <c r="Q987" t="s">
        <v>74</v>
      </c>
      <c r="R987" t="s">
        <v>74</v>
      </c>
      <c r="S987" t="s">
        <v>74</v>
      </c>
      <c r="T987" t="s">
        <v>74</v>
      </c>
      <c r="U987" t="s">
        <v>15398</v>
      </c>
      <c r="V987" t="s">
        <v>15399</v>
      </c>
      <c r="W987" t="s">
        <v>15400</v>
      </c>
      <c r="X987" t="s">
        <v>15401</v>
      </c>
      <c r="Y987" t="s">
        <v>15402</v>
      </c>
      <c r="Z987" t="s">
        <v>15403</v>
      </c>
      <c r="AA987" t="s">
        <v>15404</v>
      </c>
      <c r="AB987" t="s">
        <v>15405</v>
      </c>
      <c r="AC987" t="s">
        <v>74</v>
      </c>
      <c r="AD987" t="s">
        <v>74</v>
      </c>
      <c r="AE987" t="s">
        <v>74</v>
      </c>
      <c r="AF987" t="s">
        <v>74</v>
      </c>
      <c r="AG987">
        <v>65</v>
      </c>
      <c r="AH987">
        <v>48</v>
      </c>
      <c r="AI987">
        <v>50</v>
      </c>
      <c r="AJ987">
        <v>0</v>
      </c>
      <c r="AK987">
        <v>13</v>
      </c>
      <c r="AL987" t="s">
        <v>7239</v>
      </c>
      <c r="AM987" t="s">
        <v>5498</v>
      </c>
      <c r="AN987" t="s">
        <v>7240</v>
      </c>
      <c r="AO987" t="s">
        <v>7448</v>
      </c>
      <c r="AP987" t="s">
        <v>7449</v>
      </c>
      <c r="AQ987" t="s">
        <v>74</v>
      </c>
      <c r="AR987" t="s">
        <v>7450</v>
      </c>
      <c r="AS987" t="s">
        <v>7451</v>
      </c>
      <c r="AT987" t="s">
        <v>15375</v>
      </c>
      <c r="AU987">
        <v>2006</v>
      </c>
      <c r="AV987">
        <v>111</v>
      </c>
      <c r="AW987" t="s">
        <v>15360</v>
      </c>
      <c r="AX987" t="s">
        <v>74</v>
      </c>
      <c r="AY987" t="s">
        <v>74</v>
      </c>
      <c r="AZ987" t="s">
        <v>74</v>
      </c>
      <c r="BA987" t="s">
        <v>74</v>
      </c>
      <c r="BB987" t="s">
        <v>74</v>
      </c>
      <c r="BC987" t="s">
        <v>74</v>
      </c>
      <c r="BD987" t="s">
        <v>15406</v>
      </c>
      <c r="BE987" t="s">
        <v>15407</v>
      </c>
      <c r="BF987" t="str">
        <f>HYPERLINK("http://dx.doi.org/10.1029/2005JD006524","http://dx.doi.org/10.1029/2005JD006524")</f>
        <v>http://dx.doi.org/10.1029/2005JD006524</v>
      </c>
      <c r="BG987" t="s">
        <v>74</v>
      </c>
      <c r="BH987" t="s">
        <v>74</v>
      </c>
      <c r="BI987">
        <v>19</v>
      </c>
      <c r="BJ987" t="s">
        <v>3208</v>
      </c>
      <c r="BK987" t="s">
        <v>97</v>
      </c>
      <c r="BL987" t="s">
        <v>3208</v>
      </c>
      <c r="BM987" t="s">
        <v>15393</v>
      </c>
      <c r="BN987" t="s">
        <v>74</v>
      </c>
      <c r="BO987" t="s">
        <v>7456</v>
      </c>
      <c r="BP987" t="s">
        <v>74</v>
      </c>
      <c r="BQ987" t="s">
        <v>74</v>
      </c>
      <c r="BR987" t="s">
        <v>100</v>
      </c>
      <c r="BS987" t="s">
        <v>15408</v>
      </c>
      <c r="BT987" t="str">
        <f>HYPERLINK("https%3A%2F%2Fwww.webofscience.com%2Fwos%2Fwoscc%2Ffull-record%2FWOS:000239787000002","View Full Record in Web of Science")</f>
        <v>View Full Record in Web of Science</v>
      </c>
    </row>
    <row r="988" spans="1:72" x14ac:dyDescent="0.15">
      <c r="A988" t="s">
        <v>72</v>
      </c>
      <c r="B988" t="s">
        <v>15409</v>
      </c>
      <c r="C988" t="s">
        <v>74</v>
      </c>
      <c r="D988" t="s">
        <v>74</v>
      </c>
      <c r="E988" t="s">
        <v>74</v>
      </c>
      <c r="F988" t="s">
        <v>15410</v>
      </c>
      <c r="G988" t="s">
        <v>74</v>
      </c>
      <c r="H988" t="s">
        <v>74</v>
      </c>
      <c r="I988" t="s">
        <v>15411</v>
      </c>
      <c r="J988" t="s">
        <v>7287</v>
      </c>
      <c r="K988" t="s">
        <v>74</v>
      </c>
      <c r="L988" t="s">
        <v>74</v>
      </c>
      <c r="M988" t="s">
        <v>78</v>
      </c>
      <c r="N988" t="s">
        <v>79</v>
      </c>
      <c r="O988" t="s">
        <v>74</v>
      </c>
      <c r="P988" t="s">
        <v>74</v>
      </c>
      <c r="Q988" t="s">
        <v>74</v>
      </c>
      <c r="R988" t="s">
        <v>74</v>
      </c>
      <c r="S988" t="s">
        <v>74</v>
      </c>
      <c r="T988" t="s">
        <v>74</v>
      </c>
      <c r="U988" t="s">
        <v>15412</v>
      </c>
      <c r="V988" t="s">
        <v>15413</v>
      </c>
      <c r="W988" t="s">
        <v>15414</v>
      </c>
      <c r="X988" t="s">
        <v>15415</v>
      </c>
      <c r="Y988" t="s">
        <v>15416</v>
      </c>
      <c r="Z988" t="s">
        <v>15417</v>
      </c>
      <c r="AA988" t="s">
        <v>15418</v>
      </c>
      <c r="AB988" t="s">
        <v>15419</v>
      </c>
      <c r="AC988" t="s">
        <v>74</v>
      </c>
      <c r="AD988" t="s">
        <v>74</v>
      </c>
      <c r="AE988" t="s">
        <v>74</v>
      </c>
      <c r="AF988" t="s">
        <v>74</v>
      </c>
      <c r="AG988">
        <v>77</v>
      </c>
      <c r="AH988">
        <v>71</v>
      </c>
      <c r="AI988">
        <v>76</v>
      </c>
      <c r="AJ988">
        <v>1</v>
      </c>
      <c r="AK988">
        <v>26</v>
      </c>
      <c r="AL988" t="s">
        <v>7239</v>
      </c>
      <c r="AM988" t="s">
        <v>5498</v>
      </c>
      <c r="AN988" t="s">
        <v>7240</v>
      </c>
      <c r="AO988" t="s">
        <v>7296</v>
      </c>
      <c r="AP988" t="s">
        <v>7297</v>
      </c>
      <c r="AQ988" t="s">
        <v>74</v>
      </c>
      <c r="AR988" t="s">
        <v>7298</v>
      </c>
      <c r="AS988" t="s">
        <v>7299</v>
      </c>
      <c r="AT988" t="s">
        <v>15375</v>
      </c>
      <c r="AU988">
        <v>2006</v>
      </c>
      <c r="AV988">
        <v>111</v>
      </c>
      <c r="AW988" t="s">
        <v>15420</v>
      </c>
      <c r="AX988" t="s">
        <v>74</v>
      </c>
      <c r="AY988" t="s">
        <v>74</v>
      </c>
      <c r="AZ988" t="s">
        <v>74</v>
      </c>
      <c r="BA988" t="s">
        <v>74</v>
      </c>
      <c r="BB988" t="s">
        <v>74</v>
      </c>
      <c r="BC988" t="s">
        <v>74</v>
      </c>
      <c r="BD988" t="s">
        <v>15421</v>
      </c>
      <c r="BE988" t="s">
        <v>15422</v>
      </c>
      <c r="BF988" t="str">
        <f>HYPERLINK("http://dx.doi.org/10.1029/2005JC003216","http://dx.doi.org/10.1029/2005JC003216")</f>
        <v>http://dx.doi.org/10.1029/2005JC003216</v>
      </c>
      <c r="BG988" t="s">
        <v>74</v>
      </c>
      <c r="BH988" t="s">
        <v>74</v>
      </c>
      <c r="BI988">
        <v>19</v>
      </c>
      <c r="BJ988" t="s">
        <v>1260</v>
      </c>
      <c r="BK988" t="s">
        <v>97</v>
      </c>
      <c r="BL988" t="s">
        <v>1260</v>
      </c>
      <c r="BM988" t="s">
        <v>15423</v>
      </c>
      <c r="BN988" t="s">
        <v>74</v>
      </c>
      <c r="BO988" t="s">
        <v>124</v>
      </c>
      <c r="BP988" t="s">
        <v>74</v>
      </c>
      <c r="BQ988" t="s">
        <v>74</v>
      </c>
      <c r="BR988" t="s">
        <v>100</v>
      </c>
      <c r="BS988" t="s">
        <v>15424</v>
      </c>
      <c r="BT988" t="str">
        <f>HYPERLINK("https%3A%2F%2Fwww.webofscience.com%2Fwos%2Fwoscc%2Ffull-record%2FWOS:000239787500001","View Full Record in Web of Science")</f>
        <v>View Full Record in Web of Science</v>
      </c>
    </row>
    <row r="989" spans="1:72" x14ac:dyDescent="0.15">
      <c r="A989" t="s">
        <v>72</v>
      </c>
      <c r="B989" t="s">
        <v>15425</v>
      </c>
      <c r="C989" t="s">
        <v>74</v>
      </c>
      <c r="D989" t="s">
        <v>74</v>
      </c>
      <c r="E989" t="s">
        <v>74</v>
      </c>
      <c r="F989" t="s">
        <v>15426</v>
      </c>
      <c r="G989" t="s">
        <v>74</v>
      </c>
      <c r="H989" t="s">
        <v>74</v>
      </c>
      <c r="I989" t="s">
        <v>15427</v>
      </c>
      <c r="J989" t="s">
        <v>7346</v>
      </c>
      <c r="K989" t="s">
        <v>74</v>
      </c>
      <c r="L989" t="s">
        <v>74</v>
      </c>
      <c r="M989" t="s">
        <v>78</v>
      </c>
      <c r="N989" t="s">
        <v>79</v>
      </c>
      <c r="O989" t="s">
        <v>74</v>
      </c>
      <c r="P989" t="s">
        <v>74</v>
      </c>
      <c r="Q989" t="s">
        <v>74</v>
      </c>
      <c r="R989" t="s">
        <v>74</v>
      </c>
      <c r="S989" t="s">
        <v>74</v>
      </c>
      <c r="T989" t="s">
        <v>74</v>
      </c>
      <c r="U989" t="s">
        <v>15428</v>
      </c>
      <c r="V989" t="s">
        <v>15429</v>
      </c>
      <c r="W989" t="s">
        <v>15430</v>
      </c>
      <c r="X989" t="s">
        <v>15431</v>
      </c>
      <c r="Y989" t="s">
        <v>15432</v>
      </c>
      <c r="Z989" t="s">
        <v>15433</v>
      </c>
      <c r="AA989" t="s">
        <v>15434</v>
      </c>
      <c r="AB989" t="s">
        <v>15435</v>
      </c>
      <c r="AC989" t="s">
        <v>74</v>
      </c>
      <c r="AD989" t="s">
        <v>74</v>
      </c>
      <c r="AE989" t="s">
        <v>74</v>
      </c>
      <c r="AF989" t="s">
        <v>74</v>
      </c>
      <c r="AG989">
        <v>28</v>
      </c>
      <c r="AH989">
        <v>182</v>
      </c>
      <c r="AI989">
        <v>207</v>
      </c>
      <c r="AJ989">
        <v>1</v>
      </c>
      <c r="AK989">
        <v>60</v>
      </c>
      <c r="AL989" t="s">
        <v>7356</v>
      </c>
      <c r="AM989" t="s">
        <v>5498</v>
      </c>
      <c r="AN989" t="s">
        <v>7357</v>
      </c>
      <c r="AO989" t="s">
        <v>7358</v>
      </c>
      <c r="AP989" t="s">
        <v>15436</v>
      </c>
      <c r="AQ989" t="s">
        <v>74</v>
      </c>
      <c r="AR989" t="s">
        <v>7346</v>
      </c>
      <c r="AS989" t="s">
        <v>7359</v>
      </c>
      <c r="AT989" t="s">
        <v>15375</v>
      </c>
      <c r="AU989">
        <v>2006</v>
      </c>
      <c r="AV989">
        <v>313</v>
      </c>
      <c r="AW989">
        <v>5788</v>
      </c>
      <c r="AX989" t="s">
        <v>74</v>
      </c>
      <c r="AY989" t="s">
        <v>74</v>
      </c>
      <c r="AZ989" t="s">
        <v>74</v>
      </c>
      <c r="BA989" t="s">
        <v>74</v>
      </c>
      <c r="BB989">
        <v>827</v>
      </c>
      <c r="BC989">
        <v>831</v>
      </c>
      <c r="BD989" t="s">
        <v>74</v>
      </c>
      <c r="BE989" t="s">
        <v>15437</v>
      </c>
      <c r="BF989" t="str">
        <f>HYPERLINK("http://dx.doi.org/10.1126/science.1128243","http://dx.doi.org/10.1126/science.1128243")</f>
        <v>http://dx.doi.org/10.1126/science.1128243</v>
      </c>
      <c r="BG989" t="s">
        <v>74</v>
      </c>
      <c r="BH989" t="s">
        <v>74</v>
      </c>
      <c r="BI989">
        <v>5</v>
      </c>
      <c r="BJ989" t="s">
        <v>884</v>
      </c>
      <c r="BK989" t="s">
        <v>97</v>
      </c>
      <c r="BL989" t="s">
        <v>885</v>
      </c>
      <c r="BM989" t="s">
        <v>15438</v>
      </c>
      <c r="BN989">
        <v>16902135</v>
      </c>
      <c r="BO989" t="s">
        <v>1384</v>
      </c>
      <c r="BP989" t="s">
        <v>74</v>
      </c>
      <c r="BQ989" t="s">
        <v>74</v>
      </c>
      <c r="BR989" t="s">
        <v>100</v>
      </c>
      <c r="BS989" t="s">
        <v>15439</v>
      </c>
      <c r="BT989" t="str">
        <f>HYPERLINK("https%3A%2F%2Fwww.webofscience.com%2Fwos%2Fwoscc%2Ffull-record%2FWOS:000239671300057","View Full Record in Web of Science")</f>
        <v>View Full Record in Web of Science</v>
      </c>
    </row>
    <row r="990" spans="1:72" x14ac:dyDescent="0.15">
      <c r="A990" t="s">
        <v>72</v>
      </c>
      <c r="B990" t="s">
        <v>15440</v>
      </c>
      <c r="C990" t="s">
        <v>74</v>
      </c>
      <c r="D990" t="s">
        <v>74</v>
      </c>
      <c r="E990" t="s">
        <v>74</v>
      </c>
      <c r="F990" t="s">
        <v>15441</v>
      </c>
      <c r="G990" t="s">
        <v>74</v>
      </c>
      <c r="H990" t="s">
        <v>74</v>
      </c>
      <c r="I990" t="s">
        <v>15442</v>
      </c>
      <c r="J990" t="s">
        <v>342</v>
      </c>
      <c r="K990" t="s">
        <v>74</v>
      </c>
      <c r="L990" t="s">
        <v>74</v>
      </c>
      <c r="M990" t="s">
        <v>78</v>
      </c>
      <c r="N990" t="s">
        <v>79</v>
      </c>
      <c r="O990" t="s">
        <v>74</v>
      </c>
      <c r="P990" t="s">
        <v>74</v>
      </c>
      <c r="Q990" t="s">
        <v>74</v>
      </c>
      <c r="R990" t="s">
        <v>74</v>
      </c>
      <c r="S990" t="s">
        <v>74</v>
      </c>
      <c r="T990" t="s">
        <v>74</v>
      </c>
      <c r="U990" t="s">
        <v>15443</v>
      </c>
      <c r="V990" t="s">
        <v>15444</v>
      </c>
      <c r="W990" t="s">
        <v>513</v>
      </c>
      <c r="X990" t="s">
        <v>514</v>
      </c>
      <c r="Y990" t="s">
        <v>15445</v>
      </c>
      <c r="Z990" t="s">
        <v>15446</v>
      </c>
      <c r="AA990" t="s">
        <v>74</v>
      </c>
      <c r="AB990" t="s">
        <v>74</v>
      </c>
      <c r="AC990" t="s">
        <v>74</v>
      </c>
      <c r="AD990" t="s">
        <v>74</v>
      </c>
      <c r="AE990" t="s">
        <v>74</v>
      </c>
      <c r="AF990" t="s">
        <v>74</v>
      </c>
      <c r="AG990">
        <v>33</v>
      </c>
      <c r="AH990">
        <v>7</v>
      </c>
      <c r="AI990">
        <v>9</v>
      </c>
      <c r="AJ990">
        <v>0</v>
      </c>
      <c r="AK990">
        <v>5</v>
      </c>
      <c r="AL990" t="s">
        <v>15447</v>
      </c>
      <c r="AM990" t="s">
        <v>15448</v>
      </c>
      <c r="AN990" t="s">
        <v>15449</v>
      </c>
      <c r="AO990" t="s">
        <v>354</v>
      </c>
      <c r="AP990" t="s">
        <v>74</v>
      </c>
      <c r="AQ990" t="s">
        <v>74</v>
      </c>
      <c r="AR990" t="s">
        <v>356</v>
      </c>
      <c r="AS990" t="s">
        <v>357</v>
      </c>
      <c r="AT990" t="s">
        <v>15450</v>
      </c>
      <c r="AU990">
        <v>2006</v>
      </c>
      <c r="AV990">
        <v>6</v>
      </c>
      <c r="AW990" t="s">
        <v>74</v>
      </c>
      <c r="AX990" t="s">
        <v>74</v>
      </c>
      <c r="AY990" t="s">
        <v>74</v>
      </c>
      <c r="AZ990" t="s">
        <v>74</v>
      </c>
      <c r="BA990" t="s">
        <v>74</v>
      </c>
      <c r="BB990">
        <v>3303</v>
      </c>
      <c r="BC990">
        <v>3314</v>
      </c>
      <c r="BD990" t="s">
        <v>74</v>
      </c>
      <c r="BE990" t="s">
        <v>15451</v>
      </c>
      <c r="BF990" t="str">
        <f>HYPERLINK("http://dx.doi.org/10.5194/acp-6-3303-2006","http://dx.doi.org/10.5194/acp-6-3303-2006")</f>
        <v>http://dx.doi.org/10.5194/acp-6-3303-2006</v>
      </c>
      <c r="BG990" t="s">
        <v>74</v>
      </c>
      <c r="BH990" t="s">
        <v>74</v>
      </c>
      <c r="BI990">
        <v>12</v>
      </c>
      <c r="BJ990" t="s">
        <v>359</v>
      </c>
      <c r="BK990" t="s">
        <v>97</v>
      </c>
      <c r="BL990" t="s">
        <v>360</v>
      </c>
      <c r="BM990" t="s">
        <v>15452</v>
      </c>
      <c r="BN990" t="s">
        <v>74</v>
      </c>
      <c r="BO990" t="s">
        <v>5154</v>
      </c>
      <c r="BP990" t="s">
        <v>74</v>
      </c>
      <c r="BQ990" t="s">
        <v>74</v>
      </c>
      <c r="BR990" t="s">
        <v>100</v>
      </c>
      <c r="BS990" t="s">
        <v>15453</v>
      </c>
      <c r="BT990" t="str">
        <f>HYPERLINK("https%3A%2F%2Fwww.webofscience.com%2Fwos%2Fwoscc%2Ffull-record%2FWOS:000239667400001","View Full Record in Web of Science")</f>
        <v>View Full Record in Web of Science</v>
      </c>
    </row>
    <row r="991" spans="1:72" x14ac:dyDescent="0.15">
      <c r="A991" t="s">
        <v>72</v>
      </c>
      <c r="B991" t="s">
        <v>15454</v>
      </c>
      <c r="C991" t="s">
        <v>74</v>
      </c>
      <c r="D991" t="s">
        <v>74</v>
      </c>
      <c r="E991" t="s">
        <v>74</v>
      </c>
      <c r="F991" t="s">
        <v>15455</v>
      </c>
      <c r="G991" t="s">
        <v>74</v>
      </c>
      <c r="H991" t="s">
        <v>74</v>
      </c>
      <c r="I991" t="s">
        <v>15456</v>
      </c>
      <c r="J991" t="s">
        <v>7251</v>
      </c>
      <c r="K991" t="s">
        <v>74</v>
      </c>
      <c r="L991" t="s">
        <v>74</v>
      </c>
      <c r="M991" t="s">
        <v>78</v>
      </c>
      <c r="N991" t="s">
        <v>79</v>
      </c>
      <c r="O991" t="s">
        <v>74</v>
      </c>
      <c r="P991" t="s">
        <v>74</v>
      </c>
      <c r="Q991" t="s">
        <v>74</v>
      </c>
      <c r="R991" t="s">
        <v>74</v>
      </c>
      <c r="S991" t="s">
        <v>74</v>
      </c>
      <c r="T991" t="s">
        <v>74</v>
      </c>
      <c r="U991" t="s">
        <v>15457</v>
      </c>
      <c r="V991" t="s">
        <v>15458</v>
      </c>
      <c r="W991" t="s">
        <v>15459</v>
      </c>
      <c r="X991" t="s">
        <v>15460</v>
      </c>
      <c r="Y991" t="s">
        <v>15461</v>
      </c>
      <c r="Z991" t="s">
        <v>15462</v>
      </c>
      <c r="AA991" t="s">
        <v>15463</v>
      </c>
      <c r="AB991" t="s">
        <v>15464</v>
      </c>
      <c r="AC991" t="s">
        <v>7332</v>
      </c>
      <c r="AD991" t="s">
        <v>1254</v>
      </c>
      <c r="AE991" t="s">
        <v>74</v>
      </c>
      <c r="AF991" t="s">
        <v>74</v>
      </c>
      <c r="AG991">
        <v>25</v>
      </c>
      <c r="AH991">
        <v>23</v>
      </c>
      <c r="AI991">
        <v>26</v>
      </c>
      <c r="AJ991">
        <v>0</v>
      </c>
      <c r="AK991">
        <v>8</v>
      </c>
      <c r="AL991" t="s">
        <v>7239</v>
      </c>
      <c r="AM991" t="s">
        <v>5498</v>
      </c>
      <c r="AN991" t="s">
        <v>7240</v>
      </c>
      <c r="AO991" t="s">
        <v>7257</v>
      </c>
      <c r="AP991" t="s">
        <v>74</v>
      </c>
      <c r="AQ991" t="s">
        <v>74</v>
      </c>
      <c r="AR991" t="s">
        <v>7258</v>
      </c>
      <c r="AS991" t="s">
        <v>7259</v>
      </c>
      <c r="AT991" t="s">
        <v>15450</v>
      </c>
      <c r="AU991">
        <v>2006</v>
      </c>
      <c r="AV991">
        <v>33</v>
      </c>
      <c r="AW991">
        <v>15</v>
      </c>
      <c r="AX991" t="s">
        <v>74</v>
      </c>
      <c r="AY991" t="s">
        <v>74</v>
      </c>
      <c r="AZ991" t="s">
        <v>74</v>
      </c>
      <c r="BA991" t="s">
        <v>74</v>
      </c>
      <c r="BB991" t="s">
        <v>74</v>
      </c>
      <c r="BC991" t="s">
        <v>74</v>
      </c>
      <c r="BD991" t="s">
        <v>15465</v>
      </c>
      <c r="BE991" t="s">
        <v>15466</v>
      </c>
      <c r="BF991" t="str">
        <f>HYPERLINK("http://dx.doi.org/10.1029/2006GL026648","http://dx.doi.org/10.1029/2006GL026648")</f>
        <v>http://dx.doi.org/10.1029/2006GL026648</v>
      </c>
      <c r="BG991" t="s">
        <v>74</v>
      </c>
      <c r="BH991" t="s">
        <v>74</v>
      </c>
      <c r="BI991">
        <v>6</v>
      </c>
      <c r="BJ991" t="s">
        <v>685</v>
      </c>
      <c r="BK991" t="s">
        <v>97</v>
      </c>
      <c r="BL991" t="s">
        <v>642</v>
      </c>
      <c r="BM991" t="s">
        <v>15467</v>
      </c>
      <c r="BN991" t="s">
        <v>74</v>
      </c>
      <c r="BO991" t="s">
        <v>7456</v>
      </c>
      <c r="BP991" t="s">
        <v>74</v>
      </c>
      <c r="BQ991" t="s">
        <v>74</v>
      </c>
      <c r="BR991" t="s">
        <v>100</v>
      </c>
      <c r="BS991" t="s">
        <v>15468</v>
      </c>
      <c r="BT991" t="str">
        <f>HYPERLINK("https%3A%2F%2Fwww.webofscience.com%2Fwos%2Fwoscc%2Ffull-record%2FWOS:000239786100007","View Full Record in Web of Science")</f>
        <v>View Full Record in Web of Science</v>
      </c>
    </row>
    <row r="992" spans="1:72" x14ac:dyDescent="0.15">
      <c r="A992" t="s">
        <v>72</v>
      </c>
      <c r="B992" t="s">
        <v>15469</v>
      </c>
      <c r="C992" t="s">
        <v>74</v>
      </c>
      <c r="D992" t="s">
        <v>74</v>
      </c>
      <c r="E992" t="s">
        <v>74</v>
      </c>
      <c r="F992" t="s">
        <v>15470</v>
      </c>
      <c r="G992" t="s">
        <v>74</v>
      </c>
      <c r="H992" t="s">
        <v>74</v>
      </c>
      <c r="I992" t="s">
        <v>15471</v>
      </c>
      <c r="J992" t="s">
        <v>7287</v>
      </c>
      <c r="K992" t="s">
        <v>74</v>
      </c>
      <c r="L992" t="s">
        <v>74</v>
      </c>
      <c r="M992" t="s">
        <v>78</v>
      </c>
      <c r="N992" t="s">
        <v>79</v>
      </c>
      <c r="O992" t="s">
        <v>74</v>
      </c>
      <c r="P992" t="s">
        <v>74</v>
      </c>
      <c r="Q992" t="s">
        <v>74</v>
      </c>
      <c r="R992" t="s">
        <v>74</v>
      </c>
      <c r="S992" t="s">
        <v>74</v>
      </c>
      <c r="T992" t="s">
        <v>74</v>
      </c>
      <c r="U992" t="s">
        <v>15472</v>
      </c>
      <c r="V992" t="s">
        <v>15473</v>
      </c>
      <c r="W992" t="s">
        <v>15474</v>
      </c>
      <c r="X992" t="s">
        <v>15475</v>
      </c>
      <c r="Y992" t="s">
        <v>15476</v>
      </c>
      <c r="Z992" t="s">
        <v>15477</v>
      </c>
      <c r="AA992" t="s">
        <v>74</v>
      </c>
      <c r="AB992" t="s">
        <v>3202</v>
      </c>
      <c r="AC992" t="s">
        <v>74</v>
      </c>
      <c r="AD992" t="s">
        <v>74</v>
      </c>
      <c r="AE992" t="s">
        <v>74</v>
      </c>
      <c r="AF992" t="s">
        <v>74</v>
      </c>
      <c r="AG992">
        <v>37</v>
      </c>
      <c r="AH992">
        <v>21</v>
      </c>
      <c r="AI992">
        <v>21</v>
      </c>
      <c r="AJ992">
        <v>0</v>
      </c>
      <c r="AK992">
        <v>5</v>
      </c>
      <c r="AL992" t="s">
        <v>7239</v>
      </c>
      <c r="AM992" t="s">
        <v>5498</v>
      </c>
      <c r="AN992" t="s">
        <v>7240</v>
      </c>
      <c r="AO992" t="s">
        <v>7296</v>
      </c>
      <c r="AP992" t="s">
        <v>7297</v>
      </c>
      <c r="AQ992" t="s">
        <v>74</v>
      </c>
      <c r="AR992" t="s">
        <v>7298</v>
      </c>
      <c r="AS992" t="s">
        <v>7299</v>
      </c>
      <c r="AT992" t="s">
        <v>15478</v>
      </c>
      <c r="AU992">
        <v>2006</v>
      </c>
      <c r="AV992">
        <v>111</v>
      </c>
      <c r="AW992" t="s">
        <v>15420</v>
      </c>
      <c r="AX992" t="s">
        <v>74</v>
      </c>
      <c r="AY992" t="s">
        <v>74</v>
      </c>
      <c r="AZ992" t="s">
        <v>74</v>
      </c>
      <c r="BA992" t="s">
        <v>74</v>
      </c>
      <c r="BB992" t="s">
        <v>74</v>
      </c>
      <c r="BC992" t="s">
        <v>74</v>
      </c>
      <c r="BD992" t="s">
        <v>15479</v>
      </c>
      <c r="BE992" t="s">
        <v>15480</v>
      </c>
      <c r="BF992" t="str">
        <f>HYPERLINK("http://dx.doi.org/10.1029/2004JC002395","http://dx.doi.org/10.1029/2004JC002395")</f>
        <v>http://dx.doi.org/10.1029/2004JC002395</v>
      </c>
      <c r="BG992" t="s">
        <v>74</v>
      </c>
      <c r="BH992" t="s">
        <v>74</v>
      </c>
      <c r="BI992">
        <v>12</v>
      </c>
      <c r="BJ992" t="s">
        <v>1260</v>
      </c>
      <c r="BK992" t="s">
        <v>97</v>
      </c>
      <c r="BL992" t="s">
        <v>1260</v>
      </c>
      <c r="BM992" t="s">
        <v>15481</v>
      </c>
      <c r="BN992" t="s">
        <v>74</v>
      </c>
      <c r="BO992" t="s">
        <v>124</v>
      </c>
      <c r="BP992" t="s">
        <v>74</v>
      </c>
      <c r="BQ992" t="s">
        <v>74</v>
      </c>
      <c r="BR992" t="s">
        <v>100</v>
      </c>
      <c r="BS992" t="s">
        <v>15482</v>
      </c>
      <c r="BT992" t="str">
        <f>HYPERLINK("https%3A%2F%2Fwww.webofscience.com%2Fwos%2Fwoscc%2Ffull-record%2FWOS:000239787300001","View Full Record in Web of Science")</f>
        <v>View Full Record in Web of Science</v>
      </c>
    </row>
    <row r="993" spans="1:72" x14ac:dyDescent="0.15">
      <c r="A993" t="s">
        <v>72</v>
      </c>
      <c r="B993" t="s">
        <v>15483</v>
      </c>
      <c r="C993" t="s">
        <v>74</v>
      </c>
      <c r="D993" t="s">
        <v>74</v>
      </c>
      <c r="E993" t="s">
        <v>74</v>
      </c>
      <c r="F993" t="s">
        <v>15484</v>
      </c>
      <c r="G993" t="s">
        <v>74</v>
      </c>
      <c r="H993" t="s">
        <v>74</v>
      </c>
      <c r="I993" t="s">
        <v>15485</v>
      </c>
      <c r="J993" t="s">
        <v>7251</v>
      </c>
      <c r="K993" t="s">
        <v>74</v>
      </c>
      <c r="L993" t="s">
        <v>74</v>
      </c>
      <c r="M993" t="s">
        <v>78</v>
      </c>
      <c r="N993" t="s">
        <v>79</v>
      </c>
      <c r="O993" t="s">
        <v>74</v>
      </c>
      <c r="P993" t="s">
        <v>74</v>
      </c>
      <c r="Q993" t="s">
        <v>74</v>
      </c>
      <c r="R993" t="s">
        <v>74</v>
      </c>
      <c r="S993" t="s">
        <v>74</v>
      </c>
      <c r="T993" t="s">
        <v>74</v>
      </c>
      <c r="U993" t="s">
        <v>15486</v>
      </c>
      <c r="V993" t="s">
        <v>15487</v>
      </c>
      <c r="W993" t="s">
        <v>15488</v>
      </c>
      <c r="X993" t="s">
        <v>15489</v>
      </c>
      <c r="Y993" t="s">
        <v>15490</v>
      </c>
      <c r="Z993" t="s">
        <v>15491</v>
      </c>
      <c r="AA993" t="s">
        <v>15492</v>
      </c>
      <c r="AB993" t="s">
        <v>15493</v>
      </c>
      <c r="AC993" t="s">
        <v>74</v>
      </c>
      <c r="AD993" t="s">
        <v>74</v>
      </c>
      <c r="AE993" t="s">
        <v>74</v>
      </c>
      <c r="AF993" t="s">
        <v>74</v>
      </c>
      <c r="AG993">
        <v>11</v>
      </c>
      <c r="AH993">
        <v>7</v>
      </c>
      <c r="AI993">
        <v>8</v>
      </c>
      <c r="AJ993">
        <v>0</v>
      </c>
      <c r="AK993">
        <v>3</v>
      </c>
      <c r="AL993" t="s">
        <v>7239</v>
      </c>
      <c r="AM993" t="s">
        <v>5498</v>
      </c>
      <c r="AN993" t="s">
        <v>7240</v>
      </c>
      <c r="AO993" t="s">
        <v>7257</v>
      </c>
      <c r="AP993" t="s">
        <v>7394</v>
      </c>
      <c r="AQ993" t="s">
        <v>74</v>
      </c>
      <c r="AR993" t="s">
        <v>7258</v>
      </c>
      <c r="AS993" t="s">
        <v>7259</v>
      </c>
      <c r="AT993" t="s">
        <v>15494</v>
      </c>
      <c r="AU993">
        <v>2006</v>
      </c>
      <c r="AV993">
        <v>33</v>
      </c>
      <c r="AW993">
        <v>15</v>
      </c>
      <c r="AX993" t="s">
        <v>74</v>
      </c>
      <c r="AY993" t="s">
        <v>74</v>
      </c>
      <c r="AZ993" t="s">
        <v>74</v>
      </c>
      <c r="BA993" t="s">
        <v>74</v>
      </c>
      <c r="BB993" t="s">
        <v>74</v>
      </c>
      <c r="BC993" t="s">
        <v>74</v>
      </c>
      <c r="BD993" t="s">
        <v>15495</v>
      </c>
      <c r="BE993" t="s">
        <v>15496</v>
      </c>
      <c r="BF993" t="str">
        <f>HYPERLINK("http://dx.doi.org/10.1029/2006GL026005","http://dx.doi.org/10.1029/2006GL026005")</f>
        <v>http://dx.doi.org/10.1029/2006GL026005</v>
      </c>
      <c r="BG993" t="s">
        <v>74</v>
      </c>
      <c r="BH993" t="s">
        <v>74</v>
      </c>
      <c r="BI993">
        <v>4</v>
      </c>
      <c r="BJ993" t="s">
        <v>685</v>
      </c>
      <c r="BK993" t="s">
        <v>97</v>
      </c>
      <c r="BL993" t="s">
        <v>642</v>
      </c>
      <c r="BM993" t="s">
        <v>15497</v>
      </c>
      <c r="BN993" t="s">
        <v>74</v>
      </c>
      <c r="BO993" t="s">
        <v>124</v>
      </c>
      <c r="BP993" t="s">
        <v>74</v>
      </c>
      <c r="BQ993" t="s">
        <v>74</v>
      </c>
      <c r="BR993" t="s">
        <v>100</v>
      </c>
      <c r="BS993" t="s">
        <v>15498</v>
      </c>
      <c r="BT993" t="str">
        <f>HYPERLINK("https%3A%2F%2Fwww.webofscience.com%2Fwos%2Fwoscc%2Ffull-record%2FWOS:000239785800001","View Full Record in Web of Science")</f>
        <v>View Full Record in Web of Science</v>
      </c>
    </row>
    <row r="994" spans="1:72" x14ac:dyDescent="0.15">
      <c r="A994" t="s">
        <v>72</v>
      </c>
      <c r="B994" t="s">
        <v>15499</v>
      </c>
      <c r="C994" t="s">
        <v>74</v>
      </c>
      <c r="D994" t="s">
        <v>74</v>
      </c>
      <c r="E994" t="s">
        <v>74</v>
      </c>
      <c r="F994" t="s">
        <v>15500</v>
      </c>
      <c r="G994" t="s">
        <v>74</v>
      </c>
      <c r="H994" t="s">
        <v>74</v>
      </c>
      <c r="I994" t="s">
        <v>15501</v>
      </c>
      <c r="J994" t="s">
        <v>15502</v>
      </c>
      <c r="K994" t="s">
        <v>74</v>
      </c>
      <c r="L994" t="s">
        <v>74</v>
      </c>
      <c r="M994" t="s">
        <v>78</v>
      </c>
      <c r="N994" t="s">
        <v>79</v>
      </c>
      <c r="O994" t="s">
        <v>74</v>
      </c>
      <c r="P994" t="s">
        <v>74</v>
      </c>
      <c r="Q994" t="s">
        <v>74</v>
      </c>
      <c r="R994" t="s">
        <v>74</v>
      </c>
      <c r="S994" t="s">
        <v>74</v>
      </c>
      <c r="T994" t="s">
        <v>74</v>
      </c>
      <c r="U994" t="s">
        <v>15503</v>
      </c>
      <c r="V994" t="s">
        <v>15504</v>
      </c>
      <c r="W994" t="s">
        <v>15505</v>
      </c>
      <c r="X994" t="s">
        <v>15506</v>
      </c>
      <c r="Y994" t="s">
        <v>15507</v>
      </c>
      <c r="Z994" t="s">
        <v>9360</v>
      </c>
      <c r="AA994" t="s">
        <v>15508</v>
      </c>
      <c r="AB994" t="s">
        <v>15509</v>
      </c>
      <c r="AC994" t="s">
        <v>74</v>
      </c>
      <c r="AD994" t="s">
        <v>74</v>
      </c>
      <c r="AE994" t="s">
        <v>74</v>
      </c>
      <c r="AF994" t="s">
        <v>74</v>
      </c>
      <c r="AG994">
        <v>59</v>
      </c>
      <c r="AH994">
        <v>41</v>
      </c>
      <c r="AI994">
        <v>57</v>
      </c>
      <c r="AJ994">
        <v>1</v>
      </c>
      <c r="AK994">
        <v>11</v>
      </c>
      <c r="AL994" t="s">
        <v>15510</v>
      </c>
      <c r="AM994" t="s">
        <v>15511</v>
      </c>
      <c r="AN994" t="s">
        <v>15512</v>
      </c>
      <c r="AO994" t="s">
        <v>15513</v>
      </c>
      <c r="AP994" t="s">
        <v>15514</v>
      </c>
      <c r="AQ994" t="s">
        <v>74</v>
      </c>
      <c r="AR994" t="s">
        <v>15515</v>
      </c>
      <c r="AS994" t="s">
        <v>15516</v>
      </c>
      <c r="AT994" t="s">
        <v>15517</v>
      </c>
      <c r="AU994">
        <v>2006</v>
      </c>
      <c r="AV994">
        <v>281</v>
      </c>
      <c r="AW994">
        <v>31</v>
      </c>
      <c r="AX994" t="s">
        <v>74</v>
      </c>
      <c r="AY994" t="s">
        <v>74</v>
      </c>
      <c r="AZ994" t="s">
        <v>74</v>
      </c>
      <c r="BA994" t="s">
        <v>74</v>
      </c>
      <c r="BB994">
        <v>22073</v>
      </c>
      <c r="BC994">
        <v>22084</v>
      </c>
      <c r="BD994" t="s">
        <v>74</v>
      </c>
      <c r="BE994" t="s">
        <v>15518</v>
      </c>
      <c r="BF994" t="str">
        <f>HYPERLINK("http://dx.doi.org/10.1074/jbc.M513080200","http://dx.doi.org/10.1074/jbc.M513080200")</f>
        <v>http://dx.doi.org/10.1074/jbc.M513080200</v>
      </c>
      <c r="BG994" t="s">
        <v>74</v>
      </c>
      <c r="BH994" t="s">
        <v>74</v>
      </c>
      <c r="BI994">
        <v>12</v>
      </c>
      <c r="BJ994" t="s">
        <v>6282</v>
      </c>
      <c r="BK994" t="s">
        <v>97</v>
      </c>
      <c r="BL994" t="s">
        <v>6282</v>
      </c>
      <c r="BM994" t="s">
        <v>15519</v>
      </c>
      <c r="BN994">
        <v>16717098</v>
      </c>
      <c r="BO994" t="s">
        <v>2155</v>
      </c>
      <c r="BP994" t="s">
        <v>74</v>
      </c>
      <c r="BQ994" t="s">
        <v>74</v>
      </c>
      <c r="BR994" t="s">
        <v>100</v>
      </c>
      <c r="BS994" t="s">
        <v>15520</v>
      </c>
      <c r="BT994" t="str">
        <f>HYPERLINK("https%3A%2F%2Fwww.webofscience.com%2Fwos%2Fwoscc%2Ffull-record%2FWOS:000239387100054","View Full Record in Web of Science")</f>
        <v>View Full Record in Web of Science</v>
      </c>
    </row>
    <row r="995" spans="1:72" x14ac:dyDescent="0.15">
      <c r="A995" t="s">
        <v>72</v>
      </c>
      <c r="B995" t="s">
        <v>15521</v>
      </c>
      <c r="C995" t="s">
        <v>74</v>
      </c>
      <c r="D995" t="s">
        <v>74</v>
      </c>
      <c r="E995" t="s">
        <v>74</v>
      </c>
      <c r="F995" t="s">
        <v>15522</v>
      </c>
      <c r="G995" t="s">
        <v>74</v>
      </c>
      <c r="H995" t="s">
        <v>74</v>
      </c>
      <c r="I995" t="s">
        <v>15523</v>
      </c>
      <c r="J995" t="s">
        <v>7832</v>
      </c>
      <c r="K995" t="s">
        <v>74</v>
      </c>
      <c r="L995" t="s">
        <v>74</v>
      </c>
      <c r="M995" t="s">
        <v>78</v>
      </c>
      <c r="N995" t="s">
        <v>79</v>
      </c>
      <c r="O995" t="s">
        <v>74</v>
      </c>
      <c r="P995" t="s">
        <v>74</v>
      </c>
      <c r="Q995" t="s">
        <v>74</v>
      </c>
      <c r="R995" t="s">
        <v>74</v>
      </c>
      <c r="S995" t="s">
        <v>74</v>
      </c>
      <c r="T995" t="s">
        <v>15524</v>
      </c>
      <c r="U995" t="s">
        <v>15525</v>
      </c>
      <c r="V995" t="s">
        <v>15526</v>
      </c>
      <c r="W995" t="s">
        <v>15527</v>
      </c>
      <c r="X995" t="s">
        <v>15528</v>
      </c>
      <c r="Y995" t="s">
        <v>15529</v>
      </c>
      <c r="Z995" t="s">
        <v>15530</v>
      </c>
      <c r="AA995" t="s">
        <v>15531</v>
      </c>
      <c r="AB995" t="s">
        <v>15532</v>
      </c>
      <c r="AC995" t="s">
        <v>74</v>
      </c>
      <c r="AD995" t="s">
        <v>74</v>
      </c>
      <c r="AE995" t="s">
        <v>74</v>
      </c>
      <c r="AF995" t="s">
        <v>74</v>
      </c>
      <c r="AG995">
        <v>62</v>
      </c>
      <c r="AH995">
        <v>38</v>
      </c>
      <c r="AI995">
        <v>41</v>
      </c>
      <c r="AJ995">
        <v>0</v>
      </c>
      <c r="AK995">
        <v>14</v>
      </c>
      <c r="AL995" t="s">
        <v>2829</v>
      </c>
      <c r="AM995" t="s">
        <v>903</v>
      </c>
      <c r="AN995" t="s">
        <v>2830</v>
      </c>
      <c r="AO995" t="s">
        <v>7843</v>
      </c>
      <c r="AP995" t="s">
        <v>7844</v>
      </c>
      <c r="AQ995" t="s">
        <v>74</v>
      </c>
      <c r="AR995" t="s">
        <v>7845</v>
      </c>
      <c r="AS995" t="s">
        <v>7846</v>
      </c>
      <c r="AT995" t="s">
        <v>15517</v>
      </c>
      <c r="AU995">
        <v>2006</v>
      </c>
      <c r="AV995">
        <v>237</v>
      </c>
      <c r="AW995" t="s">
        <v>15533</v>
      </c>
      <c r="AX995" t="s">
        <v>74</v>
      </c>
      <c r="AY995" t="s">
        <v>74</v>
      </c>
      <c r="AZ995" t="s">
        <v>74</v>
      </c>
      <c r="BA995" t="s">
        <v>74</v>
      </c>
      <c r="BB995">
        <v>396</v>
      </c>
      <c r="BC995">
        <v>411</v>
      </c>
      <c r="BD995" t="s">
        <v>74</v>
      </c>
      <c r="BE995" t="s">
        <v>15534</v>
      </c>
      <c r="BF995" t="str">
        <f>HYPERLINK("http://dx.doi.org/10.1016/j.palaeo.2005.12.013","http://dx.doi.org/10.1016/j.palaeo.2005.12.013")</f>
        <v>http://dx.doi.org/10.1016/j.palaeo.2005.12.013</v>
      </c>
      <c r="BG995" t="s">
        <v>74</v>
      </c>
      <c r="BH995" t="s">
        <v>74</v>
      </c>
      <c r="BI995">
        <v>16</v>
      </c>
      <c r="BJ995" t="s">
        <v>7849</v>
      </c>
      <c r="BK995" t="s">
        <v>97</v>
      </c>
      <c r="BL995" t="s">
        <v>7850</v>
      </c>
      <c r="BM995" t="s">
        <v>15535</v>
      </c>
      <c r="BN995" t="s">
        <v>74</v>
      </c>
      <c r="BO995" t="s">
        <v>74</v>
      </c>
      <c r="BP995" t="s">
        <v>74</v>
      </c>
      <c r="BQ995" t="s">
        <v>74</v>
      </c>
      <c r="BR995" t="s">
        <v>100</v>
      </c>
      <c r="BS995" t="s">
        <v>15536</v>
      </c>
      <c r="BT995" t="str">
        <f>HYPERLINK("https%3A%2F%2Fwww.webofscience.com%2Fwos%2Fwoscc%2Ffull-record%2FWOS:000239672600019","View Full Record in Web of Science")</f>
        <v>View Full Record in Web of Science</v>
      </c>
    </row>
    <row r="996" spans="1:72" x14ac:dyDescent="0.15">
      <c r="A996" t="s">
        <v>72</v>
      </c>
      <c r="B996" t="s">
        <v>15537</v>
      </c>
      <c r="C996" t="s">
        <v>74</v>
      </c>
      <c r="D996" t="s">
        <v>74</v>
      </c>
      <c r="E996" t="s">
        <v>74</v>
      </c>
      <c r="F996" t="s">
        <v>15538</v>
      </c>
      <c r="G996" t="s">
        <v>74</v>
      </c>
      <c r="H996" t="s">
        <v>74</v>
      </c>
      <c r="I996" t="s">
        <v>15539</v>
      </c>
      <c r="J996" t="s">
        <v>7832</v>
      </c>
      <c r="K996" t="s">
        <v>74</v>
      </c>
      <c r="L996" t="s">
        <v>74</v>
      </c>
      <c r="M996" t="s">
        <v>78</v>
      </c>
      <c r="N996" t="s">
        <v>79</v>
      </c>
      <c r="O996" t="s">
        <v>74</v>
      </c>
      <c r="P996" t="s">
        <v>74</v>
      </c>
      <c r="Q996" t="s">
        <v>74</v>
      </c>
      <c r="R996" t="s">
        <v>74</v>
      </c>
      <c r="S996" t="s">
        <v>74</v>
      </c>
      <c r="T996" t="s">
        <v>15540</v>
      </c>
      <c r="U996" t="s">
        <v>15541</v>
      </c>
      <c r="V996" t="s">
        <v>15542</v>
      </c>
      <c r="W996" t="s">
        <v>15543</v>
      </c>
      <c r="X996" t="s">
        <v>1976</v>
      </c>
      <c r="Y996" t="s">
        <v>15544</v>
      </c>
      <c r="Z996" t="s">
        <v>15545</v>
      </c>
      <c r="AA996" t="s">
        <v>15546</v>
      </c>
      <c r="AB996" t="s">
        <v>15547</v>
      </c>
      <c r="AC996" t="s">
        <v>13819</v>
      </c>
      <c r="AD996" t="s">
        <v>158</v>
      </c>
      <c r="AE996" t="s">
        <v>74</v>
      </c>
      <c r="AF996" t="s">
        <v>74</v>
      </c>
      <c r="AG996">
        <v>73</v>
      </c>
      <c r="AH996">
        <v>42</v>
      </c>
      <c r="AI996">
        <v>46</v>
      </c>
      <c r="AJ996">
        <v>4</v>
      </c>
      <c r="AK996">
        <v>34</v>
      </c>
      <c r="AL996" t="s">
        <v>2829</v>
      </c>
      <c r="AM996" t="s">
        <v>903</v>
      </c>
      <c r="AN996" t="s">
        <v>2830</v>
      </c>
      <c r="AO996" t="s">
        <v>7843</v>
      </c>
      <c r="AP996" t="s">
        <v>7844</v>
      </c>
      <c r="AQ996" t="s">
        <v>74</v>
      </c>
      <c r="AR996" t="s">
        <v>7845</v>
      </c>
      <c r="AS996" t="s">
        <v>7846</v>
      </c>
      <c r="AT996" t="s">
        <v>15517</v>
      </c>
      <c r="AU996">
        <v>2006</v>
      </c>
      <c r="AV996">
        <v>237</v>
      </c>
      <c r="AW996" t="s">
        <v>15533</v>
      </c>
      <c r="AX996" t="s">
        <v>74</v>
      </c>
      <c r="AY996" t="s">
        <v>74</v>
      </c>
      <c r="AZ996" t="s">
        <v>74</v>
      </c>
      <c r="BA996" t="s">
        <v>74</v>
      </c>
      <c r="BB996">
        <v>412</v>
      </c>
      <c r="BC996">
        <v>427</v>
      </c>
      <c r="BD996" t="s">
        <v>74</v>
      </c>
      <c r="BE996" t="s">
        <v>15548</v>
      </c>
      <c r="BF996" t="str">
        <f>HYPERLINK("http://dx.doi.org/10.1016/j.palaeo.2005.12.012","http://dx.doi.org/10.1016/j.palaeo.2005.12.012")</f>
        <v>http://dx.doi.org/10.1016/j.palaeo.2005.12.012</v>
      </c>
      <c r="BG996" t="s">
        <v>74</v>
      </c>
      <c r="BH996" t="s">
        <v>74</v>
      </c>
      <c r="BI996">
        <v>16</v>
      </c>
      <c r="BJ996" t="s">
        <v>7849</v>
      </c>
      <c r="BK996" t="s">
        <v>97</v>
      </c>
      <c r="BL996" t="s">
        <v>7850</v>
      </c>
      <c r="BM996" t="s">
        <v>15535</v>
      </c>
      <c r="BN996" t="s">
        <v>74</v>
      </c>
      <c r="BO996" t="s">
        <v>74</v>
      </c>
      <c r="BP996" t="s">
        <v>74</v>
      </c>
      <c r="BQ996" t="s">
        <v>74</v>
      </c>
      <c r="BR996" t="s">
        <v>100</v>
      </c>
      <c r="BS996" t="s">
        <v>15549</v>
      </c>
      <c r="BT996" t="str">
        <f>HYPERLINK("https%3A%2F%2Fwww.webofscience.com%2Fwos%2Fwoscc%2Ffull-record%2FWOS:000239672600020","View Full Record in Web of Science")</f>
        <v>View Full Record in Web of Science</v>
      </c>
    </row>
    <row r="997" spans="1:72" x14ac:dyDescent="0.15">
      <c r="A997" t="s">
        <v>72</v>
      </c>
      <c r="B997" t="s">
        <v>15550</v>
      </c>
      <c r="C997" t="s">
        <v>74</v>
      </c>
      <c r="D997" t="s">
        <v>74</v>
      </c>
      <c r="E997" t="s">
        <v>74</v>
      </c>
      <c r="F997" t="s">
        <v>15551</v>
      </c>
      <c r="G997" t="s">
        <v>74</v>
      </c>
      <c r="H997" t="s">
        <v>74</v>
      </c>
      <c r="I997" t="s">
        <v>15552</v>
      </c>
      <c r="J997" t="s">
        <v>9700</v>
      </c>
      <c r="K997" t="s">
        <v>74</v>
      </c>
      <c r="L997" t="s">
        <v>74</v>
      </c>
      <c r="M997" t="s">
        <v>78</v>
      </c>
      <c r="N997" t="s">
        <v>79</v>
      </c>
      <c r="O997" t="s">
        <v>74</v>
      </c>
      <c r="P997" t="s">
        <v>74</v>
      </c>
      <c r="Q997" t="s">
        <v>74</v>
      </c>
      <c r="R997" t="s">
        <v>74</v>
      </c>
      <c r="S997" t="s">
        <v>74</v>
      </c>
      <c r="T997" t="s">
        <v>15553</v>
      </c>
      <c r="U997" t="s">
        <v>15554</v>
      </c>
      <c r="V997" t="s">
        <v>15555</v>
      </c>
      <c r="W997" t="s">
        <v>15556</v>
      </c>
      <c r="X997" t="s">
        <v>15557</v>
      </c>
      <c r="Y997" t="s">
        <v>15558</v>
      </c>
      <c r="Z997" t="s">
        <v>15559</v>
      </c>
      <c r="AA997" t="s">
        <v>15560</v>
      </c>
      <c r="AB997" t="s">
        <v>15561</v>
      </c>
      <c r="AC997" t="s">
        <v>15562</v>
      </c>
      <c r="AD997" t="s">
        <v>1647</v>
      </c>
      <c r="AE997" t="s">
        <v>74</v>
      </c>
      <c r="AF997" t="s">
        <v>74</v>
      </c>
      <c r="AG997">
        <v>70</v>
      </c>
      <c r="AH997">
        <v>95</v>
      </c>
      <c r="AI997">
        <v>102</v>
      </c>
      <c r="AJ997">
        <v>2</v>
      </c>
      <c r="AK997">
        <v>13</v>
      </c>
      <c r="AL997" t="s">
        <v>2829</v>
      </c>
      <c r="AM997" t="s">
        <v>903</v>
      </c>
      <c r="AN997" t="s">
        <v>2830</v>
      </c>
      <c r="AO997" t="s">
        <v>9708</v>
      </c>
      <c r="AP997" t="s">
        <v>9709</v>
      </c>
      <c r="AQ997" t="s">
        <v>74</v>
      </c>
      <c r="AR997" t="s">
        <v>9710</v>
      </c>
      <c r="AS997" t="s">
        <v>9711</v>
      </c>
      <c r="AT997" t="s">
        <v>15563</v>
      </c>
      <c r="AU997">
        <v>2006</v>
      </c>
      <c r="AV997">
        <v>230</v>
      </c>
      <c r="AW997" t="s">
        <v>94</v>
      </c>
      <c r="AX997" t="s">
        <v>74</v>
      </c>
      <c r="AY997" t="s">
        <v>74</v>
      </c>
      <c r="AZ997" t="s">
        <v>74</v>
      </c>
      <c r="BA997" t="s">
        <v>74</v>
      </c>
      <c r="BB997">
        <v>53</v>
      </c>
      <c r="BC997">
        <v>72</v>
      </c>
      <c r="BD997" t="s">
        <v>74</v>
      </c>
      <c r="BE997" t="s">
        <v>15564</v>
      </c>
      <c r="BF997" t="str">
        <f>HYPERLINK("http://dx.doi.org/10.1016/j.margeo.2006.04.001","http://dx.doi.org/10.1016/j.margeo.2006.04.001")</f>
        <v>http://dx.doi.org/10.1016/j.margeo.2006.04.001</v>
      </c>
      <c r="BG997" t="s">
        <v>74</v>
      </c>
      <c r="BH997" t="s">
        <v>74</v>
      </c>
      <c r="BI997">
        <v>20</v>
      </c>
      <c r="BJ997" t="s">
        <v>9714</v>
      </c>
      <c r="BK997" t="s">
        <v>97</v>
      </c>
      <c r="BL997" t="s">
        <v>6300</v>
      </c>
      <c r="BM997" t="s">
        <v>15565</v>
      </c>
      <c r="BN997" t="s">
        <v>74</v>
      </c>
      <c r="BO997" t="s">
        <v>74</v>
      </c>
      <c r="BP997" t="s">
        <v>74</v>
      </c>
      <c r="BQ997" t="s">
        <v>74</v>
      </c>
      <c r="BR997" t="s">
        <v>100</v>
      </c>
      <c r="BS997" t="s">
        <v>15566</v>
      </c>
      <c r="BT997" t="str">
        <f>HYPERLINK("https%3A%2F%2Fwww.webofscience.com%2Fwos%2Fwoscc%2Ffull-record%2FWOS:000239467700004","View Full Record in Web of Science")</f>
        <v>View Full Record in Web of Science</v>
      </c>
    </row>
    <row r="998" spans="1:72" x14ac:dyDescent="0.15">
      <c r="A998" t="s">
        <v>72</v>
      </c>
      <c r="B998" t="s">
        <v>15567</v>
      </c>
      <c r="C998" t="s">
        <v>74</v>
      </c>
      <c r="D998" t="s">
        <v>74</v>
      </c>
      <c r="E998" t="s">
        <v>74</v>
      </c>
      <c r="F998" t="s">
        <v>15568</v>
      </c>
      <c r="G998" t="s">
        <v>74</v>
      </c>
      <c r="H998" t="s">
        <v>74</v>
      </c>
      <c r="I998" t="s">
        <v>15569</v>
      </c>
      <c r="J998" t="s">
        <v>15570</v>
      </c>
      <c r="K998" t="s">
        <v>74</v>
      </c>
      <c r="L998" t="s">
        <v>74</v>
      </c>
      <c r="M998" t="s">
        <v>78</v>
      </c>
      <c r="N998" t="s">
        <v>79</v>
      </c>
      <c r="O998" t="s">
        <v>74</v>
      </c>
      <c r="P998" t="s">
        <v>74</v>
      </c>
      <c r="Q998" t="s">
        <v>74</v>
      </c>
      <c r="R998" t="s">
        <v>74</v>
      </c>
      <c r="S998" t="s">
        <v>74</v>
      </c>
      <c r="T998" t="s">
        <v>15571</v>
      </c>
      <c r="U998" t="s">
        <v>15572</v>
      </c>
      <c r="V998" t="s">
        <v>15573</v>
      </c>
      <c r="W998" t="s">
        <v>15574</v>
      </c>
      <c r="X998" t="s">
        <v>15575</v>
      </c>
      <c r="Y998" t="s">
        <v>15576</v>
      </c>
      <c r="Z998" t="s">
        <v>15577</v>
      </c>
      <c r="AA998" t="s">
        <v>15578</v>
      </c>
      <c r="AB998" t="s">
        <v>15579</v>
      </c>
      <c r="AC998" t="s">
        <v>74</v>
      </c>
      <c r="AD998" t="s">
        <v>74</v>
      </c>
      <c r="AE998" t="s">
        <v>74</v>
      </c>
      <c r="AF998" t="s">
        <v>74</v>
      </c>
      <c r="AG998">
        <v>35</v>
      </c>
      <c r="AH998">
        <v>36</v>
      </c>
      <c r="AI998">
        <v>39</v>
      </c>
      <c r="AJ998">
        <v>0</v>
      </c>
      <c r="AK998">
        <v>7</v>
      </c>
      <c r="AL998" t="s">
        <v>11226</v>
      </c>
      <c r="AM998" t="s">
        <v>160</v>
      </c>
      <c r="AN998" t="s">
        <v>11227</v>
      </c>
      <c r="AO998" t="s">
        <v>15580</v>
      </c>
      <c r="AP998" t="s">
        <v>15581</v>
      </c>
      <c r="AQ998" t="s">
        <v>74</v>
      </c>
      <c r="AR998" t="s">
        <v>15582</v>
      </c>
      <c r="AS998" t="s">
        <v>15583</v>
      </c>
      <c r="AT998" t="s">
        <v>15584</v>
      </c>
      <c r="AU998">
        <v>2006</v>
      </c>
      <c r="AV998" t="s">
        <v>15585</v>
      </c>
      <c r="AW998">
        <v>8</v>
      </c>
      <c r="AX998" t="s">
        <v>74</v>
      </c>
      <c r="AY998" t="s">
        <v>74</v>
      </c>
      <c r="AZ998" t="s">
        <v>74</v>
      </c>
      <c r="BA998" t="s">
        <v>74</v>
      </c>
      <c r="BB998">
        <v>900</v>
      </c>
      <c r="BC998">
        <v>908</v>
      </c>
      <c r="BD998" t="s">
        <v>74</v>
      </c>
      <c r="BE998" t="s">
        <v>15586</v>
      </c>
      <c r="BF998" t="str">
        <f>HYPERLINK("http://dx.doi.org/10.1002/ar.a.20361","http://dx.doi.org/10.1002/ar.a.20361")</f>
        <v>http://dx.doi.org/10.1002/ar.a.20361</v>
      </c>
      <c r="BG998" t="s">
        <v>74</v>
      </c>
      <c r="BH998" t="s">
        <v>74</v>
      </c>
      <c r="BI998">
        <v>9</v>
      </c>
      <c r="BJ998" t="s">
        <v>15587</v>
      </c>
      <c r="BK998" t="s">
        <v>97</v>
      </c>
      <c r="BL998" t="s">
        <v>15587</v>
      </c>
      <c r="BM998" t="s">
        <v>15588</v>
      </c>
      <c r="BN998">
        <v>16835938</v>
      </c>
      <c r="BO998" t="s">
        <v>124</v>
      </c>
      <c r="BP998" t="s">
        <v>74</v>
      </c>
      <c r="BQ998" t="s">
        <v>74</v>
      </c>
      <c r="BR998" t="s">
        <v>100</v>
      </c>
      <c r="BS998" t="s">
        <v>15589</v>
      </c>
      <c r="BT998" t="str">
        <f>HYPERLINK("https%3A%2F%2Fwww.webofscience.com%2Fwos%2Fwoscc%2Ffull-record%2FWOS:000239473500008","View Full Record in Web of Science")</f>
        <v>View Full Record in Web of Science</v>
      </c>
    </row>
    <row r="999" spans="1:72" x14ac:dyDescent="0.15">
      <c r="A999" t="s">
        <v>72</v>
      </c>
      <c r="B999" t="s">
        <v>15590</v>
      </c>
      <c r="C999" t="s">
        <v>74</v>
      </c>
      <c r="D999" t="s">
        <v>74</v>
      </c>
      <c r="E999" t="s">
        <v>74</v>
      </c>
      <c r="F999" t="s">
        <v>15591</v>
      </c>
      <c r="G999" t="s">
        <v>74</v>
      </c>
      <c r="H999" t="s">
        <v>74</v>
      </c>
      <c r="I999" t="s">
        <v>15592</v>
      </c>
      <c r="J999" t="s">
        <v>15593</v>
      </c>
      <c r="K999" t="s">
        <v>74</v>
      </c>
      <c r="L999" t="s">
        <v>74</v>
      </c>
      <c r="M999" t="s">
        <v>78</v>
      </c>
      <c r="N999" t="s">
        <v>79</v>
      </c>
      <c r="O999" t="s">
        <v>74</v>
      </c>
      <c r="P999" t="s">
        <v>74</v>
      </c>
      <c r="Q999" t="s">
        <v>74</v>
      </c>
      <c r="R999" t="s">
        <v>74</v>
      </c>
      <c r="S999" t="s">
        <v>74</v>
      </c>
      <c r="T999" t="s">
        <v>74</v>
      </c>
      <c r="U999" t="s">
        <v>15594</v>
      </c>
      <c r="V999" t="s">
        <v>15595</v>
      </c>
      <c r="W999" t="s">
        <v>15596</v>
      </c>
      <c r="X999" t="s">
        <v>15597</v>
      </c>
      <c r="Y999" t="s">
        <v>15598</v>
      </c>
      <c r="Z999" t="s">
        <v>15599</v>
      </c>
      <c r="AA999" t="s">
        <v>15600</v>
      </c>
      <c r="AB999" t="s">
        <v>15601</v>
      </c>
      <c r="AC999" t="s">
        <v>4484</v>
      </c>
      <c r="AD999" t="s">
        <v>1254</v>
      </c>
      <c r="AE999" t="s">
        <v>74</v>
      </c>
      <c r="AF999" t="s">
        <v>74</v>
      </c>
      <c r="AG999">
        <v>36</v>
      </c>
      <c r="AH999">
        <v>24</v>
      </c>
      <c r="AI999">
        <v>27</v>
      </c>
      <c r="AJ999">
        <v>0</v>
      </c>
      <c r="AK999">
        <v>8</v>
      </c>
      <c r="AL999" t="s">
        <v>3322</v>
      </c>
      <c r="AM999" t="s">
        <v>1197</v>
      </c>
      <c r="AN999" t="s">
        <v>3323</v>
      </c>
      <c r="AO999" t="s">
        <v>15602</v>
      </c>
      <c r="AP999" t="s">
        <v>15603</v>
      </c>
      <c r="AQ999" t="s">
        <v>74</v>
      </c>
      <c r="AR999" t="s">
        <v>15604</v>
      </c>
      <c r="AS999" t="s">
        <v>15605</v>
      </c>
      <c r="AT999" t="s">
        <v>15584</v>
      </c>
      <c r="AU999">
        <v>2006</v>
      </c>
      <c r="AV999">
        <v>72</v>
      </c>
      <c r="AW999" t="s">
        <v>74</v>
      </c>
      <c r="AX999">
        <v>2</v>
      </c>
      <c r="AY999" t="s">
        <v>74</v>
      </c>
      <c r="AZ999" t="s">
        <v>74</v>
      </c>
      <c r="BA999" t="s">
        <v>74</v>
      </c>
      <c r="BB999">
        <v>383</v>
      </c>
      <c r="BC999">
        <v>391</v>
      </c>
      <c r="BD999" t="s">
        <v>74</v>
      </c>
      <c r="BE999" t="s">
        <v>15606</v>
      </c>
      <c r="BF999" t="str">
        <f>HYPERLINK("http://dx.doi.org/10.1016/j.anbehav.2005.10.030","http://dx.doi.org/10.1016/j.anbehav.2005.10.030")</f>
        <v>http://dx.doi.org/10.1016/j.anbehav.2005.10.030</v>
      </c>
      <c r="BG999" t="s">
        <v>74</v>
      </c>
      <c r="BH999" t="s">
        <v>74</v>
      </c>
      <c r="BI999">
        <v>9</v>
      </c>
      <c r="BJ999" t="s">
        <v>15607</v>
      </c>
      <c r="BK999" t="s">
        <v>97</v>
      </c>
      <c r="BL999" t="s">
        <v>15607</v>
      </c>
      <c r="BM999" t="s">
        <v>15608</v>
      </c>
      <c r="BN999" t="s">
        <v>74</v>
      </c>
      <c r="BO999" t="s">
        <v>1314</v>
      </c>
      <c r="BP999" t="s">
        <v>74</v>
      </c>
      <c r="BQ999" t="s">
        <v>74</v>
      </c>
      <c r="BR999" t="s">
        <v>100</v>
      </c>
      <c r="BS999" t="s">
        <v>15609</v>
      </c>
      <c r="BT999" t="str">
        <f>HYPERLINK("https%3A%2F%2Fwww.webofscience.com%2Fwos%2Fwoscc%2Ffull-record%2FWOS:000240217300014","View Full Record in Web of Science")</f>
        <v>View Full Record in Web of Science</v>
      </c>
    </row>
    <row r="1000" spans="1:72" x14ac:dyDescent="0.15">
      <c r="A1000" t="s">
        <v>72</v>
      </c>
      <c r="B1000" t="s">
        <v>15610</v>
      </c>
      <c r="C1000" t="s">
        <v>74</v>
      </c>
      <c r="D1000" t="s">
        <v>74</v>
      </c>
      <c r="E1000" t="s">
        <v>74</v>
      </c>
      <c r="F1000" t="s">
        <v>15611</v>
      </c>
      <c r="G1000" t="s">
        <v>74</v>
      </c>
      <c r="H1000" t="s">
        <v>74</v>
      </c>
      <c r="I1000" t="s">
        <v>15612</v>
      </c>
      <c r="J1000" t="s">
        <v>15613</v>
      </c>
      <c r="K1000" t="s">
        <v>74</v>
      </c>
      <c r="L1000" t="s">
        <v>74</v>
      </c>
      <c r="M1000" t="s">
        <v>78</v>
      </c>
      <c r="N1000" t="s">
        <v>79</v>
      </c>
      <c r="O1000" t="s">
        <v>74</v>
      </c>
      <c r="P1000" t="s">
        <v>74</v>
      </c>
      <c r="Q1000" t="s">
        <v>74</v>
      </c>
      <c r="R1000" t="s">
        <v>74</v>
      </c>
      <c r="S1000" t="s">
        <v>74</v>
      </c>
      <c r="T1000" t="s">
        <v>15614</v>
      </c>
      <c r="U1000" t="s">
        <v>15615</v>
      </c>
      <c r="V1000" t="s">
        <v>15616</v>
      </c>
      <c r="W1000" t="s">
        <v>15617</v>
      </c>
      <c r="X1000" t="s">
        <v>15618</v>
      </c>
      <c r="Y1000" t="s">
        <v>15619</v>
      </c>
      <c r="Z1000" t="s">
        <v>15620</v>
      </c>
      <c r="AA1000" t="s">
        <v>15621</v>
      </c>
      <c r="AB1000" t="s">
        <v>15622</v>
      </c>
      <c r="AC1000" t="s">
        <v>74</v>
      </c>
      <c r="AD1000" t="s">
        <v>74</v>
      </c>
      <c r="AE1000" t="s">
        <v>74</v>
      </c>
      <c r="AF1000" t="s">
        <v>74</v>
      </c>
      <c r="AG1000">
        <v>16</v>
      </c>
      <c r="AH1000">
        <v>5</v>
      </c>
      <c r="AI1000">
        <v>6</v>
      </c>
      <c r="AJ1000">
        <v>0</v>
      </c>
      <c r="AK1000">
        <v>9</v>
      </c>
      <c r="AL1000" t="s">
        <v>15623</v>
      </c>
      <c r="AM1000" t="s">
        <v>15624</v>
      </c>
      <c r="AN1000" t="s">
        <v>15625</v>
      </c>
      <c r="AO1000" t="s">
        <v>15626</v>
      </c>
      <c r="AP1000" t="s">
        <v>74</v>
      </c>
      <c r="AQ1000" t="s">
        <v>74</v>
      </c>
      <c r="AR1000" t="s">
        <v>15627</v>
      </c>
      <c r="AS1000" t="s">
        <v>15628</v>
      </c>
      <c r="AT1000" t="s">
        <v>15629</v>
      </c>
      <c r="AU1000">
        <v>2006</v>
      </c>
      <c r="AV1000">
        <v>49</v>
      </c>
      <c r="AW1000" t="s">
        <v>9890</v>
      </c>
      <c r="AX1000" t="s">
        <v>74</v>
      </c>
      <c r="AY1000" t="s">
        <v>74</v>
      </c>
      <c r="AZ1000" t="s">
        <v>74</v>
      </c>
      <c r="BA1000" t="s">
        <v>74</v>
      </c>
      <c r="BB1000">
        <v>1133</v>
      </c>
      <c r="BC1000">
        <v>1138</v>
      </c>
      <c r="BD1000" t="s">
        <v>74</v>
      </c>
      <c r="BE1000" t="s">
        <v>74</v>
      </c>
      <c r="BF1000" t="s">
        <v>74</v>
      </c>
      <c r="BG1000" t="s">
        <v>74</v>
      </c>
      <c r="BH1000" t="s">
        <v>74</v>
      </c>
      <c r="BI1000">
        <v>6</v>
      </c>
      <c r="BJ1000" t="s">
        <v>865</v>
      </c>
      <c r="BK1000" t="s">
        <v>97</v>
      </c>
      <c r="BL1000" t="s">
        <v>865</v>
      </c>
      <c r="BM1000" t="s">
        <v>15630</v>
      </c>
      <c r="BN1000" t="s">
        <v>74</v>
      </c>
      <c r="BO1000" t="s">
        <v>74</v>
      </c>
      <c r="BP1000" t="s">
        <v>74</v>
      </c>
      <c r="BQ1000" t="s">
        <v>74</v>
      </c>
      <c r="BR1000" t="s">
        <v>100</v>
      </c>
      <c r="BS1000" t="s">
        <v>15631</v>
      </c>
      <c r="BT1000" t="str">
        <f>HYPERLINK("https%3A%2F%2Fwww.webofscience.com%2Fwos%2Fwoscc%2Ffull-record%2FWOS:000245602500019","View Full Record in Web of Science")</f>
        <v>View Full Record in Web of Science</v>
      </c>
    </row>
    <row r="1001" spans="1:72" x14ac:dyDescent="0.15">
      <c r="A1001" t="s">
        <v>72</v>
      </c>
      <c r="B1001" t="s">
        <v>15632</v>
      </c>
      <c r="C1001" t="s">
        <v>74</v>
      </c>
      <c r="D1001" t="s">
        <v>74</v>
      </c>
      <c r="E1001" t="s">
        <v>74</v>
      </c>
      <c r="F1001" t="s">
        <v>15633</v>
      </c>
      <c r="G1001" t="s">
        <v>74</v>
      </c>
      <c r="H1001" t="s">
        <v>74</v>
      </c>
      <c r="I1001" t="s">
        <v>15634</v>
      </c>
      <c r="J1001" t="s">
        <v>15635</v>
      </c>
      <c r="K1001" t="s">
        <v>74</v>
      </c>
      <c r="L1001" t="s">
        <v>74</v>
      </c>
      <c r="M1001" t="s">
        <v>78</v>
      </c>
      <c r="N1001" t="s">
        <v>79</v>
      </c>
      <c r="O1001" t="s">
        <v>74</v>
      </c>
      <c r="P1001" t="s">
        <v>74</v>
      </c>
      <c r="Q1001" t="s">
        <v>74</v>
      </c>
      <c r="R1001" t="s">
        <v>74</v>
      </c>
      <c r="S1001" t="s">
        <v>74</v>
      </c>
      <c r="T1001" t="s">
        <v>74</v>
      </c>
      <c r="U1001" t="s">
        <v>15636</v>
      </c>
      <c r="V1001" t="s">
        <v>15637</v>
      </c>
      <c r="W1001" t="s">
        <v>15638</v>
      </c>
      <c r="X1001" t="s">
        <v>15639</v>
      </c>
      <c r="Y1001" t="s">
        <v>15640</v>
      </c>
      <c r="Z1001" t="s">
        <v>15641</v>
      </c>
      <c r="AA1001" t="s">
        <v>15642</v>
      </c>
      <c r="AB1001" t="s">
        <v>15643</v>
      </c>
      <c r="AC1001" t="s">
        <v>15644</v>
      </c>
      <c r="AD1001" t="s">
        <v>15645</v>
      </c>
      <c r="AE1001" t="s">
        <v>74</v>
      </c>
      <c r="AF1001" t="s">
        <v>74</v>
      </c>
      <c r="AG1001">
        <v>38</v>
      </c>
      <c r="AH1001">
        <v>61</v>
      </c>
      <c r="AI1001">
        <v>64</v>
      </c>
      <c r="AJ1001">
        <v>0</v>
      </c>
      <c r="AK1001">
        <v>20</v>
      </c>
      <c r="AL1001" t="s">
        <v>5497</v>
      </c>
      <c r="AM1001" t="s">
        <v>5498</v>
      </c>
      <c r="AN1001" t="s">
        <v>15646</v>
      </c>
      <c r="AO1001" t="s">
        <v>15647</v>
      </c>
      <c r="AP1001" t="s">
        <v>15648</v>
      </c>
      <c r="AQ1001" t="s">
        <v>74</v>
      </c>
      <c r="AR1001" t="s">
        <v>15649</v>
      </c>
      <c r="AS1001" t="s">
        <v>15650</v>
      </c>
      <c r="AT1001" t="s">
        <v>15584</v>
      </c>
      <c r="AU1001">
        <v>2006</v>
      </c>
      <c r="AV1001">
        <v>72</v>
      </c>
      <c r="AW1001">
        <v>8</v>
      </c>
      <c r="AX1001" t="s">
        <v>74</v>
      </c>
      <c r="AY1001" t="s">
        <v>74</v>
      </c>
      <c r="AZ1001" t="s">
        <v>74</v>
      </c>
      <c r="BA1001" t="s">
        <v>74</v>
      </c>
      <c r="BB1001">
        <v>5159</v>
      </c>
      <c r="BC1001">
        <v>5164</v>
      </c>
      <c r="BD1001" t="s">
        <v>74</v>
      </c>
      <c r="BE1001" t="s">
        <v>15651</v>
      </c>
      <c r="BF1001" t="str">
        <f>HYPERLINK("http://dx.doi.org/10.1128/AEM.00601-06","http://dx.doi.org/10.1128/AEM.00601-06")</f>
        <v>http://dx.doi.org/10.1128/AEM.00601-06</v>
      </c>
      <c r="BG1001" t="s">
        <v>74</v>
      </c>
      <c r="BH1001" t="s">
        <v>74</v>
      </c>
      <c r="BI1001">
        <v>6</v>
      </c>
      <c r="BJ1001" t="s">
        <v>10874</v>
      </c>
      <c r="BK1001" t="s">
        <v>97</v>
      </c>
      <c r="BL1001" t="s">
        <v>10874</v>
      </c>
      <c r="BM1001" t="s">
        <v>15652</v>
      </c>
      <c r="BN1001">
        <v>16885260</v>
      </c>
      <c r="BO1001" t="s">
        <v>1314</v>
      </c>
      <c r="BP1001" t="s">
        <v>74</v>
      </c>
      <c r="BQ1001" t="s">
        <v>74</v>
      </c>
      <c r="BR1001" t="s">
        <v>100</v>
      </c>
      <c r="BS1001" t="s">
        <v>15653</v>
      </c>
      <c r="BT1001" t="str">
        <f>HYPERLINK("https%3A%2F%2Fwww.webofscience.com%2Fwos%2Fwoscc%2Ffull-record%2FWOS:000239780400003","View Full Record in Web of Science")</f>
        <v>View Full Record in Web of Science</v>
      </c>
    </row>
  </sheetData>
  <pageMargins left="0.75" right="0.75" top="1" bottom="1" header="0.5" footer="0.5"/>
  <pageSetup orientation="portrait" horizontalDpi="300" verticalDpi="300"/>
  <headerFooter alignWithMargins="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vt:i4>
      </vt:variant>
    </vt:vector>
  </HeadingPairs>
  <TitlesOfParts>
    <vt:vector size="1" baseType="lpstr">
      <vt:lpstr>savedrecs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SULEYMAN BILGIN - Dijital Kanal Cozumleri (Satis Sonra</cp:lastModifiedBy>
  <dcterms:created xsi:type="dcterms:W3CDTF">2024-07-28T15:26:23Z</dcterms:created>
  <dcterms:modified xsi:type="dcterms:W3CDTF">2024-07-28T15:26:24Z</dcterms:modified>
</cp:coreProperties>
</file>